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guliz\Desktop\Gulizia Giovanni\3. Fogli di calcolo\Taglio Pilastro 2\"/>
    </mc:Choice>
  </mc:AlternateContent>
  <bookViews>
    <workbookView xWindow="0" yWindow="0" windowWidth="15870" windowHeight="4650"/>
  </bookViews>
  <sheets>
    <sheet name="Verifica a Taglio" sheetId="1" r:id="rId1"/>
    <sheet name="Calcolo 1" sheetId="3" r:id="rId2"/>
    <sheet name="Dati 1" sheetId="2" r:id="rId3"/>
    <sheet name="Progetto a Taglio" sheetId="4" r:id="rId4"/>
    <sheet name="Calcolo 2" sheetId="5" r:id="rId5"/>
    <sheet name=" Dati 2" sheetId="6" r:id="rId6"/>
  </sheets>
  <definedNames>
    <definedName name="A">'Calcolo 2'!$I$5:$I$6</definedName>
    <definedName name="B">'Calcolo 2'!$J$5:$J$6</definedName>
    <definedName name="Classecc">'Dati 1'!$E$9:$E$16</definedName>
    <definedName name="Classecc1">'Calcolo 2'!$D$6:$D$13</definedName>
    <definedName name="D">'Calcolo 2'!$K$6:$K$20</definedName>
    <definedName name="Diametro">'Dati 1'!$A$2:$A$16</definedName>
    <definedName name="Diametrost">'Dati 1'!$A$20:$A$26</definedName>
    <definedName name="Diametrost1">'Calcolo 2'!$F$6:$F$12</definedName>
    <definedName name="E">'Calcolo 2'!$L$6:$L$18</definedName>
    <definedName name="n°braccist">'Dati 1'!$B$20:$B$21</definedName>
    <definedName name="n°braccist1">'Calcolo 2'!$G$6:$G$7</definedName>
    <definedName name="Numero">'Dati 1'!$B$2:$B$14</definedName>
    <definedName name="sAsw">'Calcolo 2'!$C$6:$C$7</definedName>
    <definedName name="αcc">'Dati 1'!$C$3:$C$4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4" i="4" l="1"/>
  <c r="N24" i="3"/>
  <c r="K26" i="5"/>
  <c r="L26" i="5"/>
  <c r="M24" i="3" l="1"/>
  <c r="S24" i="1" s="1"/>
  <c r="Y24" i="1" l="1"/>
  <c r="Y24" i="4" l="1"/>
  <c r="S22" i="1" l="1"/>
  <c r="M27" i="3"/>
  <c r="D10" i="3" l="1"/>
  <c r="D9" i="3"/>
  <c r="H78" i="3"/>
  <c r="H79" i="3"/>
  <c r="H41" i="3"/>
  <c r="M30" i="3"/>
  <c r="C26" i="5"/>
  <c r="M22" i="1"/>
  <c r="C10" i="1"/>
  <c r="H7" i="2"/>
  <c r="C9" i="1" s="1"/>
  <c r="I7" i="2"/>
  <c r="G7" i="2"/>
  <c r="B9" i="1" s="1"/>
  <c r="D7" i="1"/>
  <c r="K22" i="1" s="1"/>
  <c r="D7" i="4"/>
  <c r="K22" i="4" s="1"/>
  <c r="C7" i="1"/>
  <c r="R19" i="3"/>
  <c r="P19" i="3"/>
  <c r="O19" i="3"/>
  <c r="M19" i="3"/>
  <c r="Q22" i="1" l="1"/>
  <c r="C12" i="1"/>
  <c r="I22" i="1"/>
  <c r="B12" i="1"/>
  <c r="B10" i="1"/>
  <c r="M20" i="3"/>
  <c r="P20" i="3"/>
  <c r="H41" i="6"/>
  <c r="C22" i="5"/>
  <c r="E22" i="5"/>
  <c r="O24" i="1" l="1"/>
  <c r="I24" i="1"/>
  <c r="C29" i="5"/>
  <c r="H22" i="5" l="1"/>
  <c r="P7" i="5"/>
  <c r="T7" i="5" s="1"/>
  <c r="Q7" i="5" l="1"/>
  <c r="F22" i="5"/>
  <c r="C23" i="5"/>
  <c r="F23" i="5" l="1"/>
  <c r="C10" i="4"/>
  <c r="O7" i="5"/>
  <c r="C9" i="4" s="1"/>
  <c r="N7" i="5"/>
  <c r="B9" i="4" s="1"/>
  <c r="C7" i="4"/>
  <c r="B12" i="4" l="1"/>
  <c r="Q22" i="4"/>
  <c r="B10" i="4"/>
  <c r="I22" i="4"/>
  <c r="G22" i="4"/>
  <c r="C12" i="4"/>
  <c r="O24" i="4" l="1"/>
  <c r="I24" i="4"/>
  <c r="S2" i="6" l="1"/>
  <c r="D16" i="5"/>
  <c r="G24" i="4" s="1"/>
  <c r="A2" i="5"/>
  <c r="K3" i="2" l="1"/>
  <c r="O3" i="2"/>
  <c r="E19" i="2"/>
  <c r="G24" i="1" s="1"/>
  <c r="D2" i="5" l="1"/>
  <c r="O22" i="4" s="1"/>
  <c r="E13" i="5"/>
  <c r="E12" i="5"/>
  <c r="E11" i="5"/>
  <c r="E10" i="5"/>
  <c r="E9" i="5"/>
  <c r="E8" i="5"/>
  <c r="E7" i="5"/>
  <c r="E6" i="5"/>
  <c r="E14" i="5" l="1"/>
  <c r="H3" i="2"/>
  <c r="O22" i="1" s="1"/>
  <c r="F16" i="2"/>
  <c r="F15" i="2"/>
  <c r="F14" i="2"/>
  <c r="F13" i="2"/>
  <c r="F12" i="2"/>
  <c r="F11" i="2"/>
  <c r="F10" i="2"/>
  <c r="F9" i="2"/>
  <c r="B2" i="5" l="1"/>
  <c r="B7" i="4"/>
  <c r="F17" i="2"/>
  <c r="H4" i="6"/>
  <c r="H42" i="6" s="1"/>
  <c r="J23" i="5" l="1"/>
  <c r="G26" i="5" s="1"/>
  <c r="G3" i="2"/>
  <c r="A2" i="3" s="1"/>
  <c r="B7" i="1"/>
  <c r="G22" i="1" s="1"/>
  <c r="U2" i="5"/>
  <c r="I2" i="5" s="1"/>
  <c r="E2" i="5"/>
  <c r="O2" i="5"/>
  <c r="H5" i="6"/>
  <c r="H43" i="6" s="1"/>
  <c r="T20" i="3" l="1"/>
  <c r="N3" i="2"/>
  <c r="M3" i="2" s="1"/>
  <c r="C27" i="5"/>
  <c r="E24" i="5"/>
  <c r="O7" i="4" s="1"/>
  <c r="I78" i="3"/>
  <c r="D7" i="3"/>
  <c r="D8" i="3" s="1"/>
  <c r="C28" i="5"/>
  <c r="M3" i="4"/>
  <c r="G27" i="5"/>
  <c r="G28" i="5"/>
  <c r="R13" i="6"/>
  <c r="S13" i="6" s="1"/>
  <c r="H6" i="6"/>
  <c r="H44" i="6" s="1"/>
  <c r="O21" i="3" l="1"/>
  <c r="P7" i="1" s="1"/>
  <c r="P3" i="1"/>
  <c r="Q27" i="3"/>
  <c r="Q29" i="3"/>
  <c r="M28" i="3"/>
  <c r="M29" i="3"/>
  <c r="Q28" i="3"/>
  <c r="H7" i="6"/>
  <c r="H45" i="6" s="1"/>
  <c r="Q24" i="1" l="1"/>
  <c r="K24" i="1"/>
  <c r="H8" i="6"/>
  <c r="H46" i="6" s="1"/>
  <c r="H9" i="6" l="1"/>
  <c r="H47" i="6" s="1"/>
  <c r="H10" i="6" l="1"/>
  <c r="H48" i="6" s="1"/>
  <c r="H11" i="6" l="1"/>
  <c r="H49" i="6" s="1"/>
  <c r="H12" i="6" l="1"/>
  <c r="H50" i="6" s="1"/>
  <c r="H13" i="6" l="1"/>
  <c r="H51" i="6" s="1"/>
  <c r="H14" i="6" l="1"/>
  <c r="H52" i="6" s="1"/>
  <c r="H15" i="6" l="1"/>
  <c r="H53" i="6" s="1"/>
  <c r="H16" i="6" l="1"/>
  <c r="H54" i="6" s="1"/>
  <c r="H17" i="6" l="1"/>
  <c r="H55" i="6" s="1"/>
  <c r="H18" i="6" l="1"/>
  <c r="H56" i="6" s="1"/>
  <c r="H19" i="6" l="1"/>
  <c r="H57" i="6" s="1"/>
  <c r="H20" i="6" l="1"/>
  <c r="H58" i="6" s="1"/>
  <c r="H21" i="6" l="1"/>
  <c r="H59" i="6" s="1"/>
  <c r="H22" i="6" l="1"/>
  <c r="H60" i="6" s="1"/>
  <c r="H23" i="6" l="1"/>
  <c r="H61" i="6" s="1"/>
  <c r="H24" i="6" l="1"/>
  <c r="H62" i="6" s="1"/>
  <c r="H25" i="6" l="1"/>
  <c r="H63" i="6" s="1"/>
  <c r="H26" i="6" l="1"/>
  <c r="H64" i="6" s="1"/>
  <c r="H27" i="6" l="1"/>
  <c r="H65" i="6" s="1"/>
  <c r="P2" i="5"/>
  <c r="L2" i="5"/>
  <c r="K2" i="5"/>
  <c r="J2" i="5"/>
  <c r="I3" i="6" l="1"/>
  <c r="I41" i="6" s="1"/>
  <c r="T2" i="5"/>
  <c r="U7" i="5" s="1"/>
  <c r="G2" i="5"/>
  <c r="Q2" i="5"/>
  <c r="N2" i="5" s="1"/>
  <c r="I4" i="6"/>
  <c r="I42" i="6" s="1"/>
  <c r="I8" i="6"/>
  <c r="I46" i="6" s="1"/>
  <c r="I12" i="6"/>
  <c r="I50" i="6" s="1"/>
  <c r="I16" i="6"/>
  <c r="I54" i="6" s="1"/>
  <c r="I20" i="6"/>
  <c r="I58" i="6" s="1"/>
  <c r="I24" i="6"/>
  <c r="I62" i="6" s="1"/>
  <c r="I5" i="6"/>
  <c r="I43" i="6" s="1"/>
  <c r="I9" i="6"/>
  <c r="I47" i="6" s="1"/>
  <c r="I13" i="6"/>
  <c r="I51" i="6" s="1"/>
  <c r="I17" i="6"/>
  <c r="I55" i="6" s="1"/>
  <c r="I21" i="6"/>
  <c r="I59" i="6" s="1"/>
  <c r="I25" i="6"/>
  <c r="I63" i="6" s="1"/>
  <c r="I6" i="6"/>
  <c r="I44" i="6" s="1"/>
  <c r="I10" i="6"/>
  <c r="I48" i="6" s="1"/>
  <c r="I14" i="6"/>
  <c r="I52" i="6" s="1"/>
  <c r="I18" i="6"/>
  <c r="I56" i="6" s="1"/>
  <c r="I22" i="6"/>
  <c r="I60" i="6" s="1"/>
  <c r="I26" i="6"/>
  <c r="I64" i="6" s="1"/>
  <c r="I7" i="6"/>
  <c r="I45" i="6" s="1"/>
  <c r="I11" i="6"/>
  <c r="I49" i="6" s="1"/>
  <c r="I15" i="6"/>
  <c r="I53" i="6" s="1"/>
  <c r="I19" i="6"/>
  <c r="I57" i="6" s="1"/>
  <c r="I23" i="6"/>
  <c r="I61" i="6" s="1"/>
  <c r="I27" i="6"/>
  <c r="I65" i="6" s="1"/>
  <c r="H28" i="6"/>
  <c r="H66" i="6" s="1"/>
  <c r="F2" i="5"/>
  <c r="I28" i="6" l="1"/>
  <c r="I66" i="6" s="1"/>
  <c r="M2" i="5"/>
  <c r="Q1" i="4"/>
  <c r="H29" i="6"/>
  <c r="H67" i="6" l="1"/>
  <c r="I29" i="6"/>
  <c r="I67" i="6" s="1"/>
  <c r="H30" i="6"/>
  <c r="H68" i="6" l="1"/>
  <c r="I30" i="6"/>
  <c r="I68" i="6" s="1"/>
  <c r="H31" i="6"/>
  <c r="H4" i="3"/>
  <c r="H42" i="3" s="1"/>
  <c r="H80" i="3" s="1"/>
  <c r="H69" i="6" l="1"/>
  <c r="I31" i="6"/>
  <c r="I69" i="6" s="1"/>
  <c r="H5" i="3"/>
  <c r="R12" i="6"/>
  <c r="S12" i="6" s="1"/>
  <c r="H32" i="6"/>
  <c r="H6" i="3" l="1"/>
  <c r="H43" i="3"/>
  <c r="H81" i="3" s="1"/>
  <c r="H70" i="6"/>
  <c r="I32" i="6"/>
  <c r="I70" i="6" s="1"/>
  <c r="M3" i="5"/>
  <c r="H33" i="6"/>
  <c r="N3" i="5"/>
  <c r="H71" i="6" l="1"/>
  <c r="I33" i="6"/>
  <c r="I71" i="6" s="1"/>
  <c r="H7" i="3"/>
  <c r="H44" i="3"/>
  <c r="H82" i="3" s="1"/>
  <c r="Q4" i="6"/>
  <c r="R2" i="5"/>
  <c r="R7" i="5" s="1"/>
  <c r="Q11" i="5" s="1"/>
  <c r="U3" i="4" s="1"/>
  <c r="K24" i="4" s="1"/>
  <c r="H34" i="6"/>
  <c r="H72" i="6" l="1"/>
  <c r="I34" i="6"/>
  <c r="I72" i="6" s="1"/>
  <c r="H8" i="3"/>
  <c r="H45" i="3"/>
  <c r="H83" i="3" s="1"/>
  <c r="M22" i="4"/>
  <c r="S22" i="4"/>
  <c r="A2" i="6"/>
  <c r="B2" i="6" s="1"/>
  <c r="H35" i="6"/>
  <c r="H9" i="3" l="1"/>
  <c r="H46" i="3"/>
  <c r="H84" i="3" s="1"/>
  <c r="H73" i="6"/>
  <c r="I35" i="6"/>
  <c r="I73" i="6" s="1"/>
  <c r="P7" i="4"/>
  <c r="R8" i="6"/>
  <c r="S8" i="6" s="1"/>
  <c r="Q24" i="4"/>
  <c r="J15" i="6"/>
  <c r="J31" i="6"/>
  <c r="J12" i="6"/>
  <c r="J28" i="6"/>
  <c r="J9" i="6"/>
  <c r="J25" i="6"/>
  <c r="J4" i="6"/>
  <c r="J18" i="6"/>
  <c r="J34" i="6"/>
  <c r="J19" i="6"/>
  <c r="J35" i="6"/>
  <c r="J16" i="6"/>
  <c r="J32" i="6"/>
  <c r="J13" i="6"/>
  <c r="J29" i="6"/>
  <c r="J6" i="6"/>
  <c r="J22" i="6"/>
  <c r="J26" i="6"/>
  <c r="J8" i="6"/>
  <c r="J23" i="6"/>
  <c r="J17" i="6"/>
  <c r="J3" i="6"/>
  <c r="J24" i="6"/>
  <c r="J14" i="6"/>
  <c r="J33" i="6"/>
  <c r="J11" i="6"/>
  <c r="J5" i="6"/>
  <c r="J30" i="6"/>
  <c r="J20" i="6"/>
  <c r="J10" i="6"/>
  <c r="J27" i="6"/>
  <c r="J21" i="6"/>
  <c r="J7" i="6"/>
  <c r="H36" i="6"/>
  <c r="J36" i="6" s="1"/>
  <c r="Q3" i="2"/>
  <c r="P3" i="2"/>
  <c r="R3" i="2"/>
  <c r="B4" i="3" l="1"/>
  <c r="B2" i="3"/>
  <c r="H74" i="6"/>
  <c r="I36" i="6"/>
  <c r="I74" i="6" s="1"/>
  <c r="H10" i="3"/>
  <c r="H47" i="3"/>
  <c r="H85" i="3" s="1"/>
  <c r="K7" i="6"/>
  <c r="K45" i="6" s="1"/>
  <c r="J45" i="6"/>
  <c r="K20" i="6"/>
  <c r="K58" i="6" s="1"/>
  <c r="J58" i="6"/>
  <c r="K33" i="6"/>
  <c r="K71" i="6" s="1"/>
  <c r="J71" i="6"/>
  <c r="K3" i="6"/>
  <c r="K41" i="6" s="1"/>
  <c r="J41" i="6"/>
  <c r="K8" i="6"/>
  <c r="K46" i="6" s="1"/>
  <c r="J46" i="6"/>
  <c r="K22" i="6"/>
  <c r="K60" i="6" s="1"/>
  <c r="J60" i="6"/>
  <c r="K32" i="6"/>
  <c r="K70" i="6" s="1"/>
  <c r="J70" i="6"/>
  <c r="K34" i="6"/>
  <c r="K72" i="6" s="1"/>
  <c r="J72" i="6"/>
  <c r="K9" i="6"/>
  <c r="K47" i="6" s="1"/>
  <c r="J47" i="6"/>
  <c r="K15" i="6"/>
  <c r="K53" i="6" s="1"/>
  <c r="J53" i="6"/>
  <c r="K21" i="6"/>
  <c r="K59" i="6" s="1"/>
  <c r="J59" i="6"/>
  <c r="K30" i="6"/>
  <c r="K68" i="6" s="1"/>
  <c r="J68" i="6"/>
  <c r="K17" i="6"/>
  <c r="K55" i="6" s="1"/>
  <c r="J55" i="6"/>
  <c r="K26" i="6"/>
  <c r="K64" i="6" s="1"/>
  <c r="J64" i="6"/>
  <c r="K6" i="6"/>
  <c r="K44" i="6" s="1"/>
  <c r="J44" i="6"/>
  <c r="K16" i="6"/>
  <c r="K54" i="6" s="1"/>
  <c r="J54" i="6"/>
  <c r="K18" i="6"/>
  <c r="K56" i="6" s="1"/>
  <c r="J56" i="6"/>
  <c r="K28" i="6"/>
  <c r="K66" i="6" s="1"/>
  <c r="J66" i="6"/>
  <c r="K27" i="6"/>
  <c r="K65" i="6" s="1"/>
  <c r="J65" i="6"/>
  <c r="K5" i="6"/>
  <c r="K43" i="6" s="1"/>
  <c r="J43" i="6"/>
  <c r="K14" i="6"/>
  <c r="K52" i="6" s="1"/>
  <c r="J52" i="6"/>
  <c r="K23" i="6"/>
  <c r="K61" i="6" s="1"/>
  <c r="J61" i="6"/>
  <c r="J74" i="6"/>
  <c r="K29" i="6"/>
  <c r="K67" i="6" s="1"/>
  <c r="J67" i="6"/>
  <c r="K35" i="6"/>
  <c r="K73" i="6" s="1"/>
  <c r="J73" i="6"/>
  <c r="K4" i="6"/>
  <c r="K42" i="6" s="1"/>
  <c r="J42" i="6"/>
  <c r="K12" i="6"/>
  <c r="K50" i="6" s="1"/>
  <c r="J50" i="6"/>
  <c r="K10" i="6"/>
  <c r="K48" i="6" s="1"/>
  <c r="J48" i="6"/>
  <c r="K11" i="6"/>
  <c r="K49" i="6" s="1"/>
  <c r="J49" i="6"/>
  <c r="K24" i="6"/>
  <c r="K62" i="6" s="1"/>
  <c r="J62" i="6"/>
  <c r="K13" i="6"/>
  <c r="K51" i="6" s="1"/>
  <c r="J51" i="6"/>
  <c r="K19" i="6"/>
  <c r="K57" i="6" s="1"/>
  <c r="J57" i="6"/>
  <c r="K25" i="6"/>
  <c r="K63" i="6" s="1"/>
  <c r="J63" i="6"/>
  <c r="K31" i="6"/>
  <c r="K69" i="6" s="1"/>
  <c r="J69" i="6"/>
  <c r="J3" i="3"/>
  <c r="J5" i="3"/>
  <c r="J6" i="3"/>
  <c r="J9" i="3"/>
  <c r="J8" i="3"/>
  <c r="J4" i="3"/>
  <c r="J10" i="3"/>
  <c r="J7" i="3"/>
  <c r="H37" i="6"/>
  <c r="I3" i="3"/>
  <c r="I41" i="3" s="1"/>
  <c r="I79" i="3" s="1"/>
  <c r="I7" i="3"/>
  <c r="I45" i="3" s="1"/>
  <c r="I83" i="3" s="1"/>
  <c r="I4" i="3"/>
  <c r="I42" i="3" s="1"/>
  <c r="I80" i="3" s="1"/>
  <c r="I8" i="3"/>
  <c r="I46" i="3" s="1"/>
  <c r="I84" i="3" s="1"/>
  <c r="I9" i="3"/>
  <c r="I47" i="3" s="1"/>
  <c r="I85" i="3" s="1"/>
  <c r="I6" i="3"/>
  <c r="I44" i="3" s="1"/>
  <c r="I82" i="3" s="1"/>
  <c r="I10" i="3"/>
  <c r="I48" i="3" s="1"/>
  <c r="I86" i="3" s="1"/>
  <c r="I5" i="3"/>
  <c r="I43" i="3" s="1"/>
  <c r="I81" i="3" s="1"/>
  <c r="K36" i="6" l="1"/>
  <c r="K74" i="6" s="1"/>
  <c r="H11" i="3"/>
  <c r="H48" i="3"/>
  <c r="H86" i="3" s="1"/>
  <c r="Q7" i="1"/>
  <c r="C2" i="3"/>
  <c r="H75" i="6"/>
  <c r="I37" i="6"/>
  <c r="J37" i="6"/>
  <c r="J75" i="6" s="1"/>
  <c r="K5" i="3"/>
  <c r="K4" i="3"/>
  <c r="K9" i="3"/>
  <c r="K7" i="3"/>
  <c r="K8" i="3"/>
  <c r="K6" i="3"/>
  <c r="K3" i="3"/>
  <c r="K10" i="3"/>
  <c r="Q8" i="6"/>
  <c r="C2" i="6"/>
  <c r="C4" i="3"/>
  <c r="H38" i="6"/>
  <c r="R8" i="3"/>
  <c r="S8" i="3" s="1"/>
  <c r="E4" i="3" l="1"/>
  <c r="D4" i="3"/>
  <c r="I75" i="6"/>
  <c r="K37" i="6"/>
  <c r="K75" i="6" s="1"/>
  <c r="H76" i="6"/>
  <c r="I38" i="6"/>
  <c r="J38" i="6"/>
  <c r="J76" i="6" s="1"/>
  <c r="H49" i="3"/>
  <c r="H87" i="3" s="1"/>
  <c r="H12" i="3"/>
  <c r="J11" i="3"/>
  <c r="I11" i="3"/>
  <c r="Q7" i="4"/>
  <c r="D4" i="6"/>
  <c r="D2" i="6"/>
  <c r="R7" i="4" s="1"/>
  <c r="Q7" i="6"/>
  <c r="E4" i="6"/>
  <c r="E2" i="6"/>
  <c r="S7" i="4" s="1"/>
  <c r="Q13" i="6"/>
  <c r="H39" i="6"/>
  <c r="Q8" i="3"/>
  <c r="I49" i="3" l="1"/>
  <c r="I87" i="3" s="1"/>
  <c r="K11" i="3"/>
  <c r="H50" i="3"/>
  <c r="H88" i="3" s="1"/>
  <c r="H13" i="3"/>
  <c r="J12" i="3"/>
  <c r="I12" i="3"/>
  <c r="I76" i="6"/>
  <c r="K38" i="6"/>
  <c r="K76" i="6" s="1"/>
  <c r="F4" i="3"/>
  <c r="H77" i="6"/>
  <c r="I39" i="6"/>
  <c r="J39" i="6"/>
  <c r="J77" i="6" s="1"/>
  <c r="D2" i="3"/>
  <c r="S7" i="1" s="1"/>
  <c r="R7" i="1"/>
  <c r="F4" i="6"/>
  <c r="R4" i="6" s="1"/>
  <c r="S4" i="6" s="1"/>
  <c r="F2" i="6"/>
  <c r="T7" i="4" s="1"/>
  <c r="E2" i="3"/>
  <c r="T7" i="1" s="1"/>
  <c r="P12" i="3"/>
  <c r="P11" i="3"/>
  <c r="N12" i="3"/>
  <c r="Q4" i="3"/>
  <c r="H14" i="3" l="1"/>
  <c r="H51" i="3"/>
  <c r="H89" i="3" s="1"/>
  <c r="J13" i="3"/>
  <c r="I13" i="3"/>
  <c r="I77" i="6"/>
  <c r="K39" i="6"/>
  <c r="K77" i="6" s="1"/>
  <c r="I50" i="3"/>
  <c r="I88" i="3" s="1"/>
  <c r="K12" i="3"/>
  <c r="Q12" i="3"/>
  <c r="Q14" i="3" s="1"/>
  <c r="O11" i="3"/>
  <c r="O13" i="3" s="1"/>
  <c r="R7" i="6"/>
  <c r="S7" i="6" s="1"/>
  <c r="F2" i="3"/>
  <c r="S3" i="2" s="1"/>
  <c r="I51" i="3" l="1"/>
  <c r="I89" i="3" s="1"/>
  <c r="K13" i="3"/>
  <c r="H52" i="3"/>
  <c r="H90" i="3" s="1"/>
  <c r="H15" i="3"/>
  <c r="J14" i="3"/>
  <c r="I14" i="3"/>
  <c r="T3" i="1"/>
  <c r="U7" i="1"/>
  <c r="R4" i="3"/>
  <c r="O12" i="3"/>
  <c r="O14" i="3" s="1"/>
  <c r="I52" i="3" l="1"/>
  <c r="I90" i="3" s="1"/>
  <c r="K14" i="3"/>
  <c r="H53" i="3"/>
  <c r="H91" i="3" s="1"/>
  <c r="H16" i="3"/>
  <c r="J15" i="3"/>
  <c r="I15" i="3"/>
  <c r="H54" i="3" l="1"/>
  <c r="H92" i="3" s="1"/>
  <c r="H17" i="3"/>
  <c r="I16" i="3"/>
  <c r="J16" i="3"/>
  <c r="I53" i="3"/>
  <c r="I91" i="3" s="1"/>
  <c r="K15" i="3"/>
  <c r="I54" i="3" l="1"/>
  <c r="I92" i="3" s="1"/>
  <c r="K16" i="3"/>
  <c r="H55" i="3"/>
  <c r="H93" i="3" s="1"/>
  <c r="H18" i="3"/>
  <c r="J17" i="3"/>
  <c r="I17" i="3"/>
  <c r="I55" i="3" l="1"/>
  <c r="I93" i="3" s="1"/>
  <c r="K17" i="3"/>
  <c r="H56" i="3"/>
  <c r="H94" i="3" s="1"/>
  <c r="I18" i="3"/>
  <c r="J18" i="3"/>
  <c r="H19" i="3"/>
  <c r="H20" i="3" l="1"/>
  <c r="H57" i="3"/>
  <c r="H95" i="3" s="1"/>
  <c r="I19" i="3"/>
  <c r="J19" i="3"/>
  <c r="I56" i="3"/>
  <c r="I94" i="3" s="1"/>
  <c r="K18" i="3"/>
  <c r="I57" i="3" l="1"/>
  <c r="I95" i="3" s="1"/>
  <c r="K19" i="3"/>
  <c r="H21" i="3"/>
  <c r="H58" i="3"/>
  <c r="H96" i="3" s="1"/>
  <c r="I20" i="3"/>
  <c r="J20" i="3"/>
  <c r="H22" i="3" l="1"/>
  <c r="H59" i="3"/>
  <c r="H97" i="3" s="1"/>
  <c r="J21" i="3"/>
  <c r="I21" i="3"/>
  <c r="I58" i="3"/>
  <c r="I96" i="3" s="1"/>
  <c r="K20" i="3"/>
  <c r="I59" i="3" l="1"/>
  <c r="I97" i="3" s="1"/>
  <c r="K21" i="3"/>
  <c r="H23" i="3"/>
  <c r="H60" i="3"/>
  <c r="H98" i="3" s="1"/>
  <c r="J22" i="3"/>
  <c r="I22" i="3"/>
  <c r="H24" i="3" l="1"/>
  <c r="H61" i="3"/>
  <c r="H99" i="3" s="1"/>
  <c r="J23" i="3"/>
  <c r="I23" i="3"/>
  <c r="I60" i="3"/>
  <c r="I98" i="3" s="1"/>
  <c r="K22" i="3"/>
  <c r="I61" i="3" l="1"/>
  <c r="I99" i="3" s="1"/>
  <c r="K23" i="3"/>
  <c r="H25" i="3"/>
  <c r="H62" i="3"/>
  <c r="H100" i="3" s="1"/>
  <c r="J24" i="3"/>
  <c r="I24" i="3"/>
  <c r="H26" i="3" l="1"/>
  <c r="H63" i="3"/>
  <c r="H101" i="3" s="1"/>
  <c r="J25" i="3"/>
  <c r="I25" i="3"/>
  <c r="I62" i="3"/>
  <c r="I100" i="3" s="1"/>
  <c r="K24" i="3"/>
  <c r="I63" i="3" l="1"/>
  <c r="I101" i="3" s="1"/>
  <c r="K25" i="3"/>
  <c r="H27" i="3"/>
  <c r="H64" i="3"/>
  <c r="H102" i="3" s="1"/>
  <c r="I26" i="3"/>
  <c r="J26" i="3"/>
  <c r="H28" i="3" l="1"/>
  <c r="H65" i="3"/>
  <c r="H103" i="3" s="1"/>
  <c r="J27" i="3"/>
  <c r="I27" i="3"/>
  <c r="I64" i="3"/>
  <c r="I102" i="3" s="1"/>
  <c r="K26" i="3"/>
  <c r="I65" i="3" l="1"/>
  <c r="I103" i="3" s="1"/>
  <c r="K27" i="3"/>
  <c r="H29" i="3"/>
  <c r="H66" i="3"/>
  <c r="H104" i="3" s="1"/>
  <c r="I28" i="3"/>
  <c r="J28" i="3"/>
  <c r="H30" i="3" l="1"/>
  <c r="H67" i="3"/>
  <c r="H105" i="3" s="1"/>
  <c r="J29" i="3"/>
  <c r="I29" i="3"/>
  <c r="I66" i="3"/>
  <c r="I104" i="3" s="1"/>
  <c r="K28" i="3"/>
  <c r="I67" i="3" l="1"/>
  <c r="I105" i="3" s="1"/>
  <c r="K29" i="3"/>
  <c r="H31" i="3"/>
  <c r="H68" i="3"/>
  <c r="H106" i="3" s="1"/>
  <c r="J30" i="3"/>
  <c r="I30" i="3"/>
  <c r="H32" i="3" l="1"/>
  <c r="H69" i="3"/>
  <c r="H107" i="3" s="1"/>
  <c r="J31" i="3"/>
  <c r="I31" i="3"/>
  <c r="I68" i="3"/>
  <c r="I106" i="3" s="1"/>
  <c r="K30" i="3"/>
  <c r="I69" i="3" l="1"/>
  <c r="I107" i="3" s="1"/>
  <c r="K31" i="3"/>
  <c r="H33" i="3"/>
  <c r="H70" i="3"/>
  <c r="H108" i="3" s="1"/>
  <c r="J32" i="3"/>
  <c r="I32" i="3"/>
  <c r="H34" i="3" l="1"/>
  <c r="H71" i="3"/>
  <c r="H109" i="3" s="1"/>
  <c r="J33" i="3"/>
  <c r="I33" i="3"/>
  <c r="I70" i="3"/>
  <c r="I108" i="3" s="1"/>
  <c r="K32" i="3"/>
  <c r="I71" i="3" l="1"/>
  <c r="I109" i="3" s="1"/>
  <c r="K33" i="3"/>
  <c r="H72" i="3"/>
  <c r="H110" i="3" s="1"/>
  <c r="H35" i="3"/>
  <c r="J34" i="3"/>
  <c r="I34" i="3"/>
  <c r="H36" i="3" l="1"/>
  <c r="H73" i="3"/>
  <c r="H111" i="3" s="1"/>
  <c r="I35" i="3"/>
  <c r="J35" i="3"/>
  <c r="I72" i="3"/>
  <c r="I110" i="3" s="1"/>
  <c r="K34" i="3"/>
  <c r="I73" i="3" l="1"/>
  <c r="I111" i="3" s="1"/>
  <c r="K35" i="3"/>
  <c r="H74" i="3"/>
  <c r="H112" i="3" s="1"/>
  <c r="H37" i="3"/>
  <c r="J36" i="3"/>
  <c r="I36" i="3"/>
  <c r="H75" i="3" l="1"/>
  <c r="H113" i="3" s="1"/>
  <c r="H38" i="3"/>
  <c r="I37" i="3"/>
  <c r="J37" i="3"/>
  <c r="I74" i="3"/>
  <c r="I112" i="3" s="1"/>
  <c r="K36" i="3"/>
  <c r="I75" i="3" l="1"/>
  <c r="I113" i="3" s="1"/>
  <c r="K37" i="3"/>
  <c r="H76" i="3"/>
  <c r="H114" i="3" s="1"/>
  <c r="H39" i="3"/>
  <c r="I38" i="3"/>
  <c r="J38" i="3"/>
  <c r="H77" i="3" l="1"/>
  <c r="H115" i="3" s="1"/>
  <c r="J39" i="3"/>
  <c r="I39" i="3"/>
  <c r="I76" i="3"/>
  <c r="I114" i="3" s="1"/>
  <c r="K38" i="3"/>
  <c r="I77" i="3" l="1"/>
  <c r="I115" i="3" s="1"/>
  <c r="K39" i="3"/>
</calcChain>
</file>

<file path=xl/sharedStrings.xml><?xml version="1.0" encoding="utf-8"?>
<sst xmlns="http://schemas.openxmlformats.org/spreadsheetml/2006/main" count="265" uniqueCount="124">
  <si>
    <t>b</t>
  </si>
  <si>
    <t>c</t>
  </si>
  <si>
    <t>MATERIALI</t>
  </si>
  <si>
    <t>Diametro</t>
  </si>
  <si>
    <t>Numero</t>
  </si>
  <si>
    <t>Coefficientecc</t>
  </si>
  <si>
    <t>Classecc</t>
  </si>
  <si>
    <r>
      <rPr>
        <b/>
        <sz val="14"/>
        <color theme="1"/>
        <rFont val="GreekC"/>
      </rPr>
      <t>α</t>
    </r>
    <r>
      <rPr>
        <b/>
        <vertAlign val="subscript"/>
        <sz val="14"/>
        <color theme="1"/>
        <rFont val="Calibri"/>
        <family val="2"/>
      </rPr>
      <t>cc</t>
    </r>
  </si>
  <si>
    <r>
      <rPr>
        <b/>
        <sz val="14"/>
        <color theme="1"/>
        <rFont val="GreekC"/>
      </rPr>
      <t>γ</t>
    </r>
    <r>
      <rPr>
        <b/>
        <vertAlign val="subscript"/>
        <sz val="14"/>
        <color theme="1"/>
        <rFont val="Calibri"/>
        <family val="2"/>
      </rPr>
      <t>c</t>
    </r>
  </si>
  <si>
    <r>
      <rPr>
        <b/>
        <sz val="14"/>
        <color theme="1"/>
        <rFont val="GreekC"/>
      </rPr>
      <t>γ</t>
    </r>
    <r>
      <rPr>
        <b/>
        <vertAlign val="subscript"/>
        <sz val="14"/>
        <color theme="1"/>
        <rFont val="Calibri Light"/>
        <family val="1"/>
        <scheme val="major"/>
      </rPr>
      <t>s</t>
    </r>
  </si>
  <si>
    <t>cls</t>
  </si>
  <si>
    <t>acciaio</t>
  </si>
  <si>
    <t>GEOMETRIA</t>
  </si>
  <si>
    <t>v</t>
  </si>
  <si>
    <r>
      <rPr>
        <sz val="11"/>
        <color theme="1"/>
        <rFont val="GreekC"/>
      </rPr>
      <t>a</t>
    </r>
    <r>
      <rPr>
        <sz val="11"/>
        <color theme="1"/>
        <rFont val="Calibri"/>
        <family val="2"/>
      </rPr>
      <t>c</t>
    </r>
  </si>
  <si>
    <t>br.interno</t>
  </si>
  <si>
    <t>a°</t>
  </si>
  <si>
    <r>
      <t>a</t>
    </r>
    <r>
      <rPr>
        <vertAlign val="superscript"/>
        <sz val="11"/>
        <color theme="1"/>
        <rFont val="Calibri"/>
        <family val="2"/>
        <scheme val="minor"/>
      </rPr>
      <t>rad</t>
    </r>
  </si>
  <si>
    <r>
      <t>j</t>
    </r>
    <r>
      <rPr>
        <vertAlign val="superscript"/>
        <sz val="11"/>
        <color theme="1"/>
        <rFont val="Calibri"/>
        <family val="2"/>
        <scheme val="minor"/>
      </rPr>
      <t>rad</t>
    </r>
  </si>
  <si>
    <t>n° bracci</t>
  </si>
  <si>
    <t>Diametrost</t>
  </si>
  <si>
    <t>n°braccist</t>
  </si>
  <si>
    <t>Armatura st</t>
  </si>
  <si>
    <t>wsw</t>
  </si>
  <si>
    <r>
      <t xml:space="preserve">cot </t>
    </r>
    <r>
      <rPr>
        <sz val="11"/>
        <color theme="1"/>
        <rFont val="GreekC"/>
      </rPr>
      <t>j</t>
    </r>
  </si>
  <si>
    <t>Verifica</t>
  </si>
  <si>
    <t>Costruzione del Dominio Vrd</t>
  </si>
  <si>
    <t>trcd</t>
  </si>
  <si>
    <t>trsd</t>
  </si>
  <si>
    <t>trd</t>
  </si>
  <si>
    <t>Valori adimensionali</t>
  </si>
  <si>
    <t>Linee di Normativa</t>
  </si>
  <si>
    <t>x</t>
  </si>
  <si>
    <t>y</t>
  </si>
  <si>
    <t xml:space="preserve">Linea </t>
  </si>
  <si>
    <t>tsd</t>
  </si>
  <si>
    <t>trcd 21,81°</t>
  </si>
  <si>
    <t>trcd 45°</t>
  </si>
  <si>
    <r>
      <rPr>
        <sz val="11"/>
        <color theme="1"/>
        <rFont val="Calibri"/>
        <family val="2"/>
        <scheme val="minor"/>
      </rPr>
      <t>Cot</t>
    </r>
    <r>
      <rPr>
        <sz val="11"/>
        <color theme="1"/>
        <rFont val="GreekC"/>
      </rPr>
      <t xml:space="preserve"> j</t>
    </r>
  </si>
  <si>
    <t>a</t>
  </si>
  <si>
    <t>16/20</t>
  </si>
  <si>
    <t>20/25</t>
  </si>
  <si>
    <t>25/30</t>
  </si>
  <si>
    <t>28/35</t>
  </si>
  <si>
    <t>35/45</t>
  </si>
  <si>
    <t>40/50</t>
  </si>
  <si>
    <t>45/55</t>
  </si>
  <si>
    <t>50/60</t>
  </si>
  <si>
    <t>Acciaio</t>
  </si>
  <si>
    <t>B450C</t>
  </si>
  <si>
    <r>
      <t>V</t>
    </r>
    <r>
      <rPr>
        <vertAlign val="subscript"/>
        <sz val="12"/>
        <color theme="1"/>
        <rFont val="Calibri"/>
        <family val="2"/>
        <scheme val="minor"/>
      </rPr>
      <t>RD</t>
    </r>
    <r>
      <rPr>
        <sz val="12"/>
        <color theme="1"/>
        <rFont val="Calibri"/>
        <family val="2"/>
        <scheme val="minor"/>
      </rPr>
      <t xml:space="preserve">                                  </t>
    </r>
    <r>
      <rPr>
        <sz val="12"/>
        <color theme="1"/>
        <rFont val="GreekC"/>
      </rPr>
      <t>[</t>
    </r>
    <r>
      <rPr>
        <sz val="12"/>
        <color theme="1"/>
        <rFont val="Calibri"/>
        <family val="2"/>
      </rPr>
      <t>daN</t>
    </r>
    <r>
      <rPr>
        <sz val="12"/>
        <color theme="1"/>
        <rFont val="GreekC"/>
      </rPr>
      <t>]</t>
    </r>
  </si>
  <si>
    <r>
      <t>F</t>
    </r>
    <r>
      <rPr>
        <b/>
        <sz val="14"/>
        <color theme="1"/>
        <rFont val="Calibri"/>
        <family val="2"/>
        <scheme val="minor"/>
      </rPr>
      <t>sw</t>
    </r>
    <r>
      <rPr>
        <b/>
        <sz val="14"/>
        <color theme="1"/>
        <rFont val="GreekC"/>
      </rPr>
      <t xml:space="preserve">        [</t>
    </r>
    <r>
      <rPr>
        <b/>
        <sz val="14"/>
        <color theme="1"/>
        <rFont val="Calibri"/>
        <family val="2"/>
        <scheme val="minor"/>
      </rPr>
      <t>mm</t>
    </r>
    <r>
      <rPr>
        <b/>
        <sz val="14"/>
        <color theme="1"/>
        <rFont val="GreekC"/>
      </rPr>
      <t>]</t>
    </r>
  </si>
  <si>
    <r>
      <t xml:space="preserve">s                 </t>
    </r>
    <r>
      <rPr>
        <b/>
        <sz val="14"/>
        <color theme="1"/>
        <rFont val="GreekC"/>
      </rPr>
      <t>[</t>
    </r>
    <r>
      <rPr>
        <b/>
        <sz val="14"/>
        <color theme="1"/>
        <rFont val="Calibri"/>
        <family val="2"/>
      </rPr>
      <t>cm</t>
    </r>
    <r>
      <rPr>
        <b/>
        <sz val="14"/>
        <color theme="1"/>
        <rFont val="GreekC"/>
      </rPr>
      <t>]</t>
    </r>
  </si>
  <si>
    <r>
      <t>Verifica V</t>
    </r>
    <r>
      <rPr>
        <b/>
        <vertAlign val="subscript"/>
        <sz val="14"/>
        <color theme="1"/>
        <rFont val="Calibri"/>
        <family val="2"/>
        <scheme val="minor"/>
      </rPr>
      <t>ED</t>
    </r>
  </si>
  <si>
    <t>Linea di crisi</t>
  </si>
  <si>
    <t>Valore adimensionale ved</t>
  </si>
  <si>
    <t>SOLLECITAZIONE</t>
  </si>
  <si>
    <r>
      <t>V</t>
    </r>
    <r>
      <rPr>
        <vertAlign val="subscript"/>
        <sz val="12"/>
        <color theme="1"/>
        <rFont val="Calibri"/>
        <family val="2"/>
        <scheme val="minor"/>
      </rPr>
      <t xml:space="preserve">ED   </t>
    </r>
    <r>
      <rPr>
        <sz val="12"/>
        <color theme="1"/>
        <rFont val="Calibri"/>
        <family val="2"/>
        <scheme val="minor"/>
      </rPr>
      <t xml:space="preserve">                      </t>
    </r>
    <r>
      <rPr>
        <sz val="12"/>
        <color theme="1"/>
        <rFont val="GreekC"/>
      </rPr>
      <t>[</t>
    </r>
    <r>
      <rPr>
        <sz val="12"/>
        <color theme="1"/>
        <rFont val="Calibri"/>
        <family val="2"/>
        <scheme val="minor"/>
      </rPr>
      <t>daN</t>
    </r>
    <r>
      <rPr>
        <sz val="12"/>
        <color theme="1"/>
        <rFont val="GreekC"/>
      </rPr>
      <t>]</t>
    </r>
  </si>
  <si>
    <r>
      <t xml:space="preserve">b                     </t>
    </r>
    <r>
      <rPr>
        <sz val="12"/>
        <color theme="1"/>
        <rFont val="GreekC"/>
      </rPr>
      <t>[</t>
    </r>
    <r>
      <rPr>
        <sz val="12"/>
        <color theme="1"/>
        <rFont val="Calibri"/>
        <family val="2"/>
      </rPr>
      <t>cm</t>
    </r>
    <r>
      <rPr>
        <sz val="12"/>
        <color theme="1"/>
        <rFont val="GreekC"/>
      </rPr>
      <t>]</t>
    </r>
  </si>
  <si>
    <r>
      <t xml:space="preserve">h                </t>
    </r>
    <r>
      <rPr>
        <sz val="12"/>
        <color theme="1"/>
        <rFont val="GreekC"/>
      </rPr>
      <t>[</t>
    </r>
    <r>
      <rPr>
        <sz val="12"/>
        <color theme="1"/>
        <rFont val="Calibri"/>
        <family val="2"/>
      </rPr>
      <t>cm</t>
    </r>
    <r>
      <rPr>
        <sz val="12"/>
        <color theme="1"/>
        <rFont val="GreekC"/>
      </rPr>
      <t>]</t>
    </r>
  </si>
  <si>
    <r>
      <t xml:space="preserve">c                </t>
    </r>
    <r>
      <rPr>
        <sz val="12"/>
        <color theme="1"/>
        <rFont val="GreekC"/>
      </rPr>
      <t>[</t>
    </r>
    <r>
      <rPr>
        <sz val="12"/>
        <color theme="1"/>
        <rFont val="Calibri"/>
        <family val="2"/>
      </rPr>
      <t>cm</t>
    </r>
    <r>
      <rPr>
        <sz val="12"/>
        <color theme="1"/>
        <rFont val="GreekC"/>
      </rPr>
      <t>]</t>
    </r>
  </si>
  <si>
    <t>Classecc1</t>
  </si>
  <si>
    <t>Acciaio1</t>
  </si>
  <si>
    <t>n°braccist1</t>
  </si>
  <si>
    <r>
      <rPr>
        <b/>
        <sz val="14"/>
        <color theme="1"/>
        <rFont val="GreekC"/>
      </rPr>
      <t>α</t>
    </r>
    <r>
      <rPr>
        <b/>
        <vertAlign val="subscript"/>
        <sz val="14"/>
        <color theme="1"/>
        <rFont val="Calibri"/>
        <family val="2"/>
      </rPr>
      <t>cc1</t>
    </r>
  </si>
  <si>
    <t>Sollecitazione</t>
  </si>
  <si>
    <r>
      <t>V</t>
    </r>
    <r>
      <rPr>
        <vertAlign val="subscript"/>
        <sz val="12"/>
        <color theme="1"/>
        <rFont val="Calibri"/>
        <family val="2"/>
        <scheme val="minor"/>
      </rPr>
      <t xml:space="preserve">ED </t>
    </r>
    <r>
      <rPr>
        <sz val="12"/>
        <color theme="1"/>
        <rFont val="Calibri"/>
        <family val="2"/>
        <scheme val="minor"/>
      </rPr>
      <t xml:space="preserve">                          </t>
    </r>
    <r>
      <rPr>
        <sz val="12"/>
        <color theme="1"/>
        <rFont val="GreekC"/>
      </rPr>
      <t>[</t>
    </r>
    <r>
      <rPr>
        <sz val="12"/>
        <color theme="1"/>
        <rFont val="Calibri"/>
        <family val="2"/>
      </rPr>
      <t>daN</t>
    </r>
    <r>
      <rPr>
        <sz val="12"/>
        <color theme="1"/>
        <rFont val="GreekC"/>
      </rPr>
      <t>]</t>
    </r>
  </si>
  <si>
    <r>
      <t xml:space="preserve">s                             </t>
    </r>
    <r>
      <rPr>
        <b/>
        <sz val="12"/>
        <color theme="1"/>
        <rFont val="GreekC"/>
      </rPr>
      <t>[</t>
    </r>
    <r>
      <rPr>
        <b/>
        <sz val="12"/>
        <color theme="1"/>
        <rFont val="Calibri"/>
        <family val="2"/>
      </rPr>
      <t>cm</t>
    </r>
    <r>
      <rPr>
        <b/>
        <sz val="12"/>
        <color theme="1"/>
        <rFont val="GreekC"/>
      </rPr>
      <t>]</t>
    </r>
  </si>
  <si>
    <r>
      <t>F</t>
    </r>
    <r>
      <rPr>
        <b/>
        <sz val="12"/>
        <color theme="1"/>
        <rFont val="Calibri"/>
        <family val="2"/>
        <scheme val="minor"/>
      </rPr>
      <t>sw</t>
    </r>
    <r>
      <rPr>
        <b/>
        <sz val="12"/>
        <color theme="1"/>
        <rFont val="GreekC"/>
      </rPr>
      <t xml:space="preserve">        [</t>
    </r>
    <r>
      <rPr>
        <b/>
        <sz val="12"/>
        <color theme="1"/>
        <rFont val="Calibri"/>
        <family val="2"/>
        <scheme val="minor"/>
      </rPr>
      <t>mm</t>
    </r>
    <r>
      <rPr>
        <b/>
        <sz val="12"/>
        <color theme="1"/>
        <rFont val="GreekC"/>
      </rPr>
      <t>]</t>
    </r>
  </si>
  <si>
    <t>Linea di sollecitazione</t>
  </si>
  <si>
    <r>
      <t xml:space="preserve">b              </t>
    </r>
    <r>
      <rPr>
        <b/>
        <sz val="14"/>
        <color theme="1"/>
        <rFont val="GreekC"/>
      </rPr>
      <t>[</t>
    </r>
    <r>
      <rPr>
        <b/>
        <sz val="14"/>
        <color theme="1"/>
        <rFont val="Calibri"/>
        <family val="2"/>
      </rPr>
      <t>cm</t>
    </r>
    <r>
      <rPr>
        <b/>
        <sz val="14"/>
        <color theme="1"/>
        <rFont val="GreekC"/>
      </rPr>
      <t>]</t>
    </r>
  </si>
  <si>
    <r>
      <t xml:space="preserve">h             </t>
    </r>
    <r>
      <rPr>
        <b/>
        <sz val="14"/>
        <color theme="1"/>
        <rFont val="GreekC"/>
      </rPr>
      <t>[</t>
    </r>
    <r>
      <rPr>
        <b/>
        <sz val="14"/>
        <color theme="1"/>
        <rFont val="Calibri"/>
        <family val="2"/>
      </rPr>
      <t>cm</t>
    </r>
    <r>
      <rPr>
        <b/>
        <sz val="14"/>
        <color theme="1"/>
        <rFont val="GreekC"/>
      </rPr>
      <t>]</t>
    </r>
  </si>
  <si>
    <r>
      <t xml:space="preserve">c                   </t>
    </r>
    <r>
      <rPr>
        <b/>
        <sz val="14"/>
        <color theme="1"/>
        <rFont val="GreekC"/>
      </rPr>
      <t>[</t>
    </r>
    <r>
      <rPr>
        <b/>
        <sz val="14"/>
        <color theme="1"/>
        <rFont val="Calibri"/>
        <family val="2"/>
      </rPr>
      <t>cm</t>
    </r>
    <r>
      <rPr>
        <b/>
        <sz val="14"/>
        <color theme="1"/>
        <rFont val="GreekC"/>
      </rPr>
      <t>]</t>
    </r>
  </si>
  <si>
    <r>
      <rPr>
        <b/>
        <sz val="14"/>
        <color theme="1"/>
        <rFont val="GreekC"/>
      </rPr>
      <t>s</t>
    </r>
    <r>
      <rPr>
        <b/>
        <vertAlign val="subscript"/>
        <sz val="14"/>
        <color theme="1"/>
        <rFont val="Calibri"/>
        <family val="2"/>
      </rPr>
      <t>cp</t>
    </r>
    <r>
      <rPr>
        <b/>
        <sz val="14"/>
        <color theme="1"/>
        <rFont val="Calibri"/>
        <family val="2"/>
      </rPr>
      <t xml:space="preserve">                                        [daN/cm</t>
    </r>
    <r>
      <rPr>
        <b/>
        <vertAlign val="superscript"/>
        <sz val="14"/>
        <color theme="1"/>
        <rFont val="Calibri"/>
        <family val="2"/>
      </rPr>
      <t>2</t>
    </r>
    <r>
      <rPr>
        <b/>
        <sz val="14"/>
        <color theme="1"/>
        <rFont val="Calibri"/>
        <family val="2"/>
      </rPr>
      <t>]</t>
    </r>
  </si>
  <si>
    <r>
      <t>N</t>
    </r>
    <r>
      <rPr>
        <vertAlign val="subscript"/>
        <sz val="12"/>
        <color theme="1"/>
        <rFont val="Calibri"/>
        <family val="2"/>
        <scheme val="minor"/>
      </rPr>
      <t xml:space="preserve">ED   </t>
    </r>
    <r>
      <rPr>
        <sz val="12"/>
        <color theme="1"/>
        <rFont val="Calibri"/>
        <family val="2"/>
        <scheme val="minor"/>
      </rPr>
      <t xml:space="preserve">                      </t>
    </r>
    <r>
      <rPr>
        <sz val="12"/>
        <color theme="1"/>
        <rFont val="GreekC"/>
      </rPr>
      <t>[</t>
    </r>
    <r>
      <rPr>
        <sz val="12"/>
        <color theme="1"/>
        <rFont val="Calibri"/>
        <family val="2"/>
        <scheme val="minor"/>
      </rPr>
      <t>daN</t>
    </r>
    <r>
      <rPr>
        <sz val="12"/>
        <color theme="1"/>
        <rFont val="GreekC"/>
      </rPr>
      <t>]</t>
    </r>
  </si>
  <si>
    <r>
      <t xml:space="preserve"> </t>
    </r>
    <r>
      <rPr>
        <sz val="11"/>
        <color theme="1"/>
        <rFont val="GreekC"/>
      </rPr>
      <t>j</t>
    </r>
    <r>
      <rPr>
        <vertAlign val="superscript"/>
        <sz val="11"/>
        <color theme="1"/>
        <rFont val="Calibri"/>
        <family val="2"/>
        <scheme val="minor"/>
      </rPr>
      <t>rad</t>
    </r>
  </si>
  <si>
    <t>Vrsd                                        [daN]</t>
  </si>
  <si>
    <t>Vrd                                   [daN]</t>
  </si>
  <si>
    <t>Vrcd                                     [daN]</t>
  </si>
  <si>
    <t>s                                        [cm]</t>
  </si>
  <si>
    <r>
      <t>Asw                             [cm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</si>
  <si>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d*                                        [cm]</t>
  </si>
  <si>
    <r>
      <t xml:space="preserve">Diametrost1 </t>
    </r>
    <r>
      <rPr>
        <sz val="11"/>
        <color theme="1"/>
        <rFont val="GreekC"/>
      </rPr>
      <t>F</t>
    </r>
  </si>
  <si>
    <r>
      <t>fcd                                         [daN/cm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</si>
  <si>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r>
      <t>fyd                                         [daN/cm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</si>
  <si>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t>s                             [cm]</t>
  </si>
  <si>
    <t>Verifica zona sismica</t>
  </si>
  <si>
    <t>As tesa</t>
  </si>
  <si>
    <t>As o As'</t>
  </si>
  <si>
    <t>s</t>
  </si>
  <si>
    <t>Asmin</t>
  </si>
  <si>
    <t>As</t>
  </si>
  <si>
    <t>A's</t>
  </si>
  <si>
    <t>ρ</t>
  </si>
  <si>
    <t>ρ'</t>
  </si>
  <si>
    <t>Armature</t>
  </si>
  <si>
    <t>n° sup</t>
  </si>
  <si>
    <t>n° inf</t>
  </si>
  <si>
    <r>
      <rPr>
        <b/>
        <sz val="14"/>
        <color theme="1"/>
        <rFont val="GreekC"/>
      </rPr>
      <t>F</t>
    </r>
    <r>
      <rPr>
        <b/>
        <i/>
        <sz val="14"/>
        <color theme="1"/>
        <rFont val="Calibri"/>
        <family val="2"/>
      </rPr>
      <t>sup</t>
    </r>
  </si>
  <si>
    <r>
      <rPr>
        <b/>
        <sz val="14"/>
        <color theme="1"/>
        <rFont val="GreekC"/>
      </rPr>
      <t>F</t>
    </r>
    <r>
      <rPr>
        <b/>
        <i/>
        <sz val="14"/>
        <color theme="1"/>
        <rFont val="Calibri"/>
        <family val="2"/>
      </rPr>
      <t>inf</t>
    </r>
  </si>
  <si>
    <r>
      <t xml:space="preserve">As                         </t>
    </r>
    <r>
      <rPr>
        <b/>
        <sz val="12"/>
        <color theme="1"/>
        <rFont val="GreekC"/>
      </rPr>
      <t>[</t>
    </r>
    <r>
      <rPr>
        <b/>
        <sz val="12"/>
        <color theme="1"/>
        <rFont val="Calibri"/>
        <family val="2"/>
      </rPr>
      <t>cm</t>
    </r>
    <r>
      <rPr>
        <b/>
        <vertAlign val="superscript"/>
        <sz val="12"/>
        <color theme="1"/>
        <rFont val="Calibri"/>
        <family val="2"/>
      </rPr>
      <t>2</t>
    </r>
    <r>
      <rPr>
        <b/>
        <sz val="12"/>
        <color theme="1"/>
        <rFont val="GreekC"/>
      </rPr>
      <t>]</t>
    </r>
  </si>
  <si>
    <r>
      <t xml:space="preserve">A's                         </t>
    </r>
    <r>
      <rPr>
        <b/>
        <sz val="12"/>
        <color theme="1"/>
        <rFont val="GreekC"/>
      </rPr>
      <t>[</t>
    </r>
    <r>
      <rPr>
        <b/>
        <sz val="12"/>
        <color theme="1"/>
        <rFont val="Calibri"/>
        <family val="2"/>
      </rPr>
      <t>cm</t>
    </r>
    <r>
      <rPr>
        <b/>
        <vertAlign val="superscript"/>
        <sz val="12"/>
        <color theme="1"/>
        <rFont val="Calibri"/>
        <family val="2"/>
      </rPr>
      <t>2</t>
    </r>
    <r>
      <rPr>
        <b/>
        <sz val="12"/>
        <color theme="1"/>
        <rFont val="GreekC"/>
      </rPr>
      <t>]</t>
    </r>
  </si>
  <si>
    <t>Asw</t>
  </si>
  <si>
    <t>Classe di Duttilità</t>
  </si>
  <si>
    <t>Classe di duttilità A</t>
  </si>
  <si>
    <t>Classe di duttilità B</t>
  </si>
  <si>
    <t>classe di duttilità</t>
  </si>
  <si>
    <t xml:space="preserve">As </t>
  </si>
  <si>
    <t>zona sismica armatura trasversale s passo trave</t>
  </si>
  <si>
    <t>zona sismica armatura trasversale s passo pilast</t>
  </si>
  <si>
    <t>Asw/s</t>
  </si>
  <si>
    <r>
      <t xml:space="preserve">cot </t>
    </r>
    <r>
      <rPr>
        <b/>
        <sz val="14"/>
        <color theme="1"/>
        <rFont val="GreekC"/>
      </rPr>
      <t>j</t>
    </r>
  </si>
  <si>
    <t>si</t>
  </si>
  <si>
    <t>no</t>
  </si>
  <si>
    <t>Trave</t>
  </si>
  <si>
    <t>Pilastro</t>
  </si>
  <si>
    <t>Armatura longit</t>
  </si>
  <si>
    <t>interasse tra barre longitudinale non &gt;25 cm</t>
  </si>
  <si>
    <t xml:space="preserve">almeno una barra ogni due deve essere trattenuta </t>
  </si>
  <si>
    <t>le barre non fissate si devono trovare a meno di 15 cm e 20 cm per CD"A" e CD"B"</t>
  </si>
  <si>
    <r>
      <t>M</t>
    </r>
    <r>
      <rPr>
        <vertAlign val="subscript"/>
        <sz val="12"/>
        <color theme="1"/>
        <rFont val="Calibri"/>
        <family val="2"/>
        <scheme val="minor"/>
      </rPr>
      <t xml:space="preserve">ED   </t>
    </r>
    <r>
      <rPr>
        <sz val="12"/>
        <color theme="1"/>
        <rFont val="Calibri"/>
        <family val="2"/>
        <scheme val="minor"/>
      </rPr>
      <t xml:space="preserve">                      </t>
    </r>
    <r>
      <rPr>
        <sz val="12"/>
        <color theme="1"/>
        <rFont val="GreekC"/>
      </rPr>
      <t>[</t>
    </r>
    <r>
      <rPr>
        <sz val="12"/>
        <color theme="1"/>
        <rFont val="Calibri"/>
        <family val="2"/>
        <scheme val="minor"/>
      </rPr>
      <t>daN*cm</t>
    </r>
    <r>
      <rPr>
        <sz val="12"/>
        <color theme="1"/>
        <rFont val="GreekC"/>
      </rPr>
      <t>]</t>
    </r>
  </si>
  <si>
    <t>h netta pilastro       [cm]</t>
  </si>
  <si>
    <t>Zona critica un tratto pari a cm:</t>
  </si>
  <si>
    <t>Asw/s zona non critica bracci maggiori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</si>
</sst>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.0000"/>
    <numFmt numFmtId="166" formatCode="0.0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sz val="14"/>
      <color theme="1"/>
      <name val="Calibri"/>
      <family val="2"/>
    </font>
    <font>
      <b/>
      <sz val="14"/>
      <color theme="1"/>
      <name val="GreekC"/>
    </font>
    <font>
      <b/>
      <vertAlign val="subscript"/>
      <sz val="14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vertAlign val="subscript"/>
      <sz val="14"/>
      <color theme="1"/>
      <name val="Calibri Light"/>
      <family val="1"/>
      <scheme val="major"/>
    </font>
    <font>
      <sz val="11"/>
      <color theme="1"/>
      <name val="GreekC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GreekC"/>
    </font>
    <font>
      <b/>
      <sz val="9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GreekC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</font>
    <font>
      <b/>
      <vertAlign val="superscript"/>
      <sz val="14"/>
      <color theme="1"/>
      <name val="Calibri"/>
      <family val="2"/>
    </font>
    <font>
      <vertAlign val="superscript"/>
      <sz val="12"/>
      <color theme="1"/>
      <name val="Calibri"/>
      <family val="2"/>
      <scheme val="minor"/>
    </font>
    <font>
      <b/>
      <i/>
      <sz val="14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C7CB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  <border>
      <left/>
      <right/>
      <top style="thin">
        <color theme="2" tint="-9.9948118533890809E-2"/>
      </top>
      <bottom/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17600024414813E-2"/>
      </top>
      <bottom style="thin">
        <color theme="2" tint="-9.9948118533890809E-2"/>
      </bottom>
      <diagonal/>
    </border>
    <border>
      <left/>
      <right/>
      <top style="thin">
        <color theme="2" tint="-9.9917600024414813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medium">
        <color auto="1"/>
      </top>
      <bottom style="thin">
        <color theme="2" tint="-9.9948118533890809E-2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 style="medium">
        <color auto="1"/>
      </top>
      <bottom style="medium">
        <color theme="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auto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/>
    <xf numFmtId="0" fontId="8" fillId="0" borderId="0" xfId="0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4" xfId="0" applyFont="1" applyBorder="1" applyAlignment="1">
      <alignment horizontal="center"/>
    </xf>
    <xf numFmtId="2" fontId="0" fillId="0" borderId="0" xfId="0" applyNumberFormat="1"/>
    <xf numFmtId="0" fontId="5" fillId="0" borderId="0" xfId="0" applyFont="1" applyBorder="1" applyAlignment="1">
      <alignment horizontal="center"/>
    </xf>
    <xf numFmtId="0" fontId="15" fillId="7" borderId="4" xfId="0" applyFont="1" applyFill="1" applyBorder="1" applyAlignment="1">
      <alignment horizontal="center"/>
    </xf>
    <xf numFmtId="2" fontId="5" fillId="0" borderId="4" xfId="0" applyNumberFormat="1" applyFont="1" applyBorder="1"/>
    <xf numFmtId="0" fontId="0" fillId="0" borderId="0" xfId="0" applyBorder="1" applyAlignment="1"/>
    <xf numFmtId="0" fontId="0" fillId="0" borderId="13" xfId="0" applyBorder="1" applyAlignment="1"/>
    <xf numFmtId="0" fontId="0" fillId="0" borderId="0" xfId="0" applyAlignment="1"/>
    <xf numFmtId="0" fontId="17" fillId="0" borderId="14" xfId="0" applyFont="1" applyBorder="1" applyAlignment="1">
      <alignment wrapText="1"/>
    </xf>
    <xf numFmtId="0" fontId="17" fillId="0" borderId="15" xfId="0" applyFont="1" applyBorder="1" applyAlignment="1">
      <alignment wrapText="1"/>
    </xf>
    <xf numFmtId="0" fontId="17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17" fillId="0" borderId="18" xfId="0" applyFont="1" applyBorder="1" applyAlignment="1">
      <alignment wrapText="1"/>
    </xf>
    <xf numFmtId="0" fontId="17" fillId="0" borderId="19" xfId="0" applyFont="1" applyBorder="1" applyAlignment="1">
      <alignment wrapText="1"/>
    </xf>
    <xf numFmtId="0" fontId="5" fillId="0" borderId="20" xfId="0" applyFont="1" applyBorder="1" applyAlignment="1">
      <alignment horizontal="center"/>
    </xf>
    <xf numFmtId="0" fontId="0" fillId="0" borderId="0" xfId="0" applyBorder="1"/>
    <xf numFmtId="0" fontId="5" fillId="0" borderId="1" xfId="0" applyFont="1" applyBorder="1" applyAlignment="1">
      <alignment horizontal="center"/>
    </xf>
    <xf numFmtId="0" fontId="2" fillId="9" borderId="22" xfId="0" applyFont="1" applyFill="1" applyBorder="1" applyAlignment="1">
      <alignment horizontal="center" vertical="center"/>
    </xf>
    <xf numFmtId="0" fontId="11" fillId="9" borderId="6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9" fillId="7" borderId="23" xfId="0" applyFont="1" applyFill="1" applyBorder="1"/>
    <xf numFmtId="4" fontId="0" fillId="0" borderId="0" xfId="0" applyNumberFormat="1"/>
    <xf numFmtId="0" fontId="12" fillId="7" borderId="4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5" borderId="4" xfId="0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/>
    </xf>
    <xf numFmtId="0" fontId="11" fillId="9" borderId="8" xfId="0" applyFont="1" applyFill="1" applyBorder="1" applyAlignment="1">
      <alignment horizontal="center" vertical="center" wrapText="1"/>
    </xf>
    <xf numFmtId="0" fontId="11" fillId="9" borderId="9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/>
    </xf>
    <xf numFmtId="0" fontId="11" fillId="7" borderId="24" xfId="0" applyFont="1" applyFill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21" fillId="7" borderId="23" xfId="0" applyFont="1" applyFill="1" applyBorder="1"/>
    <xf numFmtId="2" fontId="0" fillId="7" borderId="23" xfId="0" applyNumberFormat="1" applyFill="1" applyBorder="1"/>
    <xf numFmtId="0" fontId="9" fillId="7" borderId="26" xfId="0" applyFont="1" applyFill="1" applyBorder="1"/>
    <xf numFmtId="2" fontId="15" fillId="7" borderId="4" xfId="0" applyNumberFormat="1" applyFont="1" applyFill="1" applyBorder="1" applyAlignment="1">
      <alignment horizontal="center" vertical="center"/>
    </xf>
    <xf numFmtId="0" fontId="18" fillId="0" borderId="24" xfId="0" applyFont="1" applyBorder="1" applyAlignment="1">
      <alignment vertical="center"/>
    </xf>
    <xf numFmtId="0" fontId="16" fillId="7" borderId="24" xfId="0" applyFont="1" applyFill="1" applyBorder="1" applyAlignment="1"/>
    <xf numFmtId="0" fontId="11" fillId="7" borderId="24" xfId="0" applyFont="1" applyFill="1" applyBorder="1" applyAlignment="1"/>
    <xf numFmtId="2" fontId="19" fillId="7" borderId="24" xfId="0" applyNumberFormat="1" applyFont="1" applyFill="1" applyBorder="1" applyAlignment="1">
      <alignment vertical="center"/>
    </xf>
    <xf numFmtId="0" fontId="5" fillId="0" borderId="24" xfId="0" applyFont="1" applyBorder="1" applyAlignment="1"/>
    <xf numFmtId="0" fontId="11" fillId="10" borderId="4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/>
    </xf>
    <xf numFmtId="0" fontId="23" fillId="7" borderId="5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/>
    </xf>
    <xf numFmtId="0" fontId="15" fillId="7" borderId="28" xfId="0" applyFont="1" applyFill="1" applyBorder="1" applyAlignment="1">
      <alignment horizontal="center"/>
    </xf>
    <xf numFmtId="0" fontId="12" fillId="9" borderId="8" xfId="0" applyFont="1" applyFill="1" applyBorder="1" applyAlignment="1">
      <alignment horizontal="center" vertical="center" wrapText="1"/>
    </xf>
    <xf numFmtId="0" fontId="12" fillId="9" borderId="9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10" borderId="5" xfId="0" applyFont="1" applyFill="1" applyBorder="1" applyAlignment="1">
      <alignment horizontal="center" vertical="center" wrapText="1"/>
    </xf>
    <xf numFmtId="167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5" fillId="0" borderId="4" xfId="0" applyNumberFormat="1" applyFont="1" applyBorder="1"/>
    <xf numFmtId="0" fontId="0" fillId="2" borderId="4" xfId="0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2" fillId="7" borderId="9" xfId="0" applyFont="1" applyFill="1" applyBorder="1" applyAlignment="1">
      <alignment horizontal="center"/>
    </xf>
    <xf numFmtId="0" fontId="12" fillId="7" borderId="23" xfId="0" applyFont="1" applyFill="1" applyBorder="1"/>
    <xf numFmtId="0" fontId="0" fillId="0" borderId="23" xfId="0" applyBorder="1"/>
    <xf numFmtId="4" fontId="5" fillId="0" borderId="5" xfId="0" applyNumberFormat="1" applyFont="1" applyBorder="1" applyAlignment="1">
      <alignment horizontal="center"/>
    </xf>
    <xf numFmtId="0" fontId="11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2" fontId="19" fillId="6" borderId="29" xfId="0" applyNumberFormat="1" applyFont="1" applyFill="1" applyBorder="1" applyAlignment="1">
      <alignment horizontal="center"/>
    </xf>
    <xf numFmtId="2" fontId="0" fillId="6" borderId="29" xfId="0" applyNumberFormat="1" applyFill="1" applyBorder="1" applyAlignment="1">
      <alignment horizontal="center"/>
    </xf>
    <xf numFmtId="2" fontId="5" fillId="0" borderId="2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2" fontId="0" fillId="6" borderId="4" xfId="0" applyNumberFormat="1" applyFill="1" applyBorder="1"/>
    <xf numFmtId="0" fontId="0" fillId="0" borderId="0" xfId="0" applyAlignment="1">
      <alignment horizont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/>
    <xf numFmtId="0" fontId="9" fillId="0" borderId="0" xfId="0" applyFont="1"/>
    <xf numFmtId="0" fontId="28" fillId="7" borderId="31" xfId="0" applyFont="1" applyFill="1" applyBorder="1" applyAlignment="1">
      <alignment horizontal="center" vertical="center"/>
    </xf>
    <xf numFmtId="0" fontId="29" fillId="7" borderId="31" xfId="0" applyFont="1" applyFill="1" applyBorder="1" applyAlignment="1">
      <alignment horizontal="center" vertical="center"/>
    </xf>
    <xf numFmtId="0" fontId="28" fillId="7" borderId="32" xfId="0" applyFont="1" applyFill="1" applyBorder="1" applyAlignment="1">
      <alignment horizontal="center" vertical="center"/>
    </xf>
    <xf numFmtId="0" fontId="29" fillId="7" borderId="3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4" fillId="7" borderId="34" xfId="0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11" fillId="10" borderId="12" xfId="0" applyFont="1" applyFill="1" applyBorder="1" applyAlignment="1">
      <alignment horizontal="center" vertical="center" wrapText="1"/>
    </xf>
    <xf numFmtId="0" fontId="11" fillId="10" borderId="29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9" fillId="7" borderId="23" xfId="0" applyFont="1" applyFill="1" applyBorder="1" applyAlignment="1">
      <alignment horizontal="center" vertical="center" wrapText="1"/>
    </xf>
    <xf numFmtId="0" fontId="19" fillId="7" borderId="36" xfId="0" applyFont="1" applyFill="1" applyBorder="1" applyAlignment="1">
      <alignment horizontal="center" vertical="center" wrapText="1"/>
    </xf>
    <xf numFmtId="0" fontId="12" fillId="7" borderId="23" xfId="0" applyFont="1" applyFill="1" applyBorder="1" applyAlignment="1"/>
    <xf numFmtId="2" fontId="5" fillId="0" borderId="23" xfId="0" applyNumberFormat="1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11" fillId="7" borderId="28" xfId="0" applyFont="1" applyFill="1" applyBorder="1" applyAlignment="1">
      <alignment vertical="center" wrapText="1"/>
    </xf>
    <xf numFmtId="0" fontId="0" fillId="7" borderId="28" xfId="0" applyFont="1" applyFill="1" applyBorder="1"/>
    <xf numFmtId="0" fontId="19" fillId="7" borderId="35" xfId="0" applyFont="1" applyFill="1" applyBorder="1" applyAlignment="1">
      <alignment vertical="center"/>
    </xf>
    <xf numFmtId="0" fontId="19" fillId="7" borderId="28" xfId="0" applyFont="1" applyFill="1" applyBorder="1" applyAlignment="1">
      <alignment vertical="center"/>
    </xf>
    <xf numFmtId="0" fontId="12" fillId="7" borderId="36" xfId="0" applyFont="1" applyFill="1" applyBorder="1" applyAlignment="1"/>
    <xf numFmtId="0" fontId="0" fillId="0" borderId="24" xfId="0" applyBorder="1"/>
    <xf numFmtId="0" fontId="0" fillId="0" borderId="37" xfId="0" applyBorder="1" applyAlignment="1">
      <alignment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0" fontId="12" fillId="9" borderId="6" xfId="0" applyFont="1" applyFill="1" applyBorder="1" applyAlignment="1">
      <alignment horizontal="center" vertical="center"/>
    </xf>
    <xf numFmtId="0" fontId="12" fillId="9" borderId="6" xfId="0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 wrapText="1"/>
    </xf>
    <xf numFmtId="2" fontId="11" fillId="0" borderId="6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4" fontId="0" fillId="0" borderId="40" xfId="0" applyNumberFormat="1" applyBorder="1"/>
    <xf numFmtId="4" fontId="0" fillId="0" borderId="41" xfId="0" applyNumberFormat="1" applyBorder="1"/>
    <xf numFmtId="0" fontId="0" fillId="0" borderId="41" xfId="0" applyBorder="1"/>
    <xf numFmtId="0" fontId="0" fillId="0" borderId="29" xfId="0" applyBorder="1"/>
    <xf numFmtId="0" fontId="0" fillId="0" borderId="40" xfId="0" applyBorder="1"/>
    <xf numFmtId="4" fontId="0" fillId="0" borderId="29" xfId="0" applyNumberFormat="1" applyBorder="1"/>
    <xf numFmtId="0" fontId="11" fillId="6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8" borderId="5" xfId="0" applyFont="1" applyFill="1" applyBorder="1" applyAlignment="1">
      <alignment horizontal="center"/>
    </xf>
    <xf numFmtId="0" fontId="12" fillId="8" borderId="6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38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2" fillId="8" borderId="39" xfId="0" applyFont="1" applyFill="1" applyBorder="1" applyAlignment="1">
      <alignment horizontal="center"/>
    </xf>
    <xf numFmtId="0" fontId="3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30" fillId="7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14" fillId="7" borderId="8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4" fillId="7" borderId="38" xfId="0" applyFont="1" applyFill="1" applyBorder="1" applyAlignment="1">
      <alignment horizontal="center" vertical="center" wrapText="1"/>
    </xf>
    <xf numFmtId="0" fontId="14" fillId="7" borderId="39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  <border>
        <top style="thin">
          <color theme="2" tint="-9.9917600024414813E-2"/>
        </top>
        <bottom style="thin">
          <color theme="2" tint="-9.9948118533890809E-2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/>
        <top style="thin">
          <color theme="0" tint="-0.14996795556505021"/>
        </top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  <border>
        <right style="thin">
          <color theme="0" tint="-0.14996795556505021"/>
        </right>
        <top style="thin">
          <color theme="0" tint="-0.14996795556505021"/>
        </top>
        <bottom style="thin">
          <color theme="0" tint="-0.14993743705557422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  <border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/>
        <top style="thin">
          <color theme="0" tint="-0.14996795556505021"/>
        </top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  <border>
        <right style="thin">
          <color theme="0" tint="-0.14996795556505021"/>
        </right>
        <top style="thin">
          <color theme="0" tint="-0.14996795556505021"/>
        </top>
        <bottom style="thin">
          <color theme="0" tint="-0.14993743705557422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bottom style="thin">
          <color theme="0" tint="-0.1499679555650502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C7C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05912150494584"/>
          <c:y val="4.2573732362158334E-2"/>
          <c:w val="0.62574344623889178"/>
          <c:h val="0.81626202282405191"/>
        </c:manualLayout>
      </c:layout>
      <c:scatterChart>
        <c:scatterStyle val="smoothMarker"/>
        <c:varyColors val="0"/>
        <c:ser>
          <c:idx val="0"/>
          <c:order val="0"/>
          <c:tx>
            <c:v>Crisi biella compressa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'Calcolo 1'!$H$3:$H$39</c:f>
              <c:numCache>
                <c:formatCode>General</c:formatCode>
                <c:ptCount val="3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3.5</c:v>
                </c:pt>
              </c:numCache>
            </c:numRef>
          </c:xVal>
          <c:yVal>
            <c:numRef>
              <c:f>'Calcolo 1'!$I$41:$I$115</c:f>
              <c:numCache>
                <c:formatCode>General</c:formatCode>
                <c:ptCount val="75"/>
                <c:pt idx="0">
                  <c:v>6.5606699760356602E-12</c:v>
                </c:pt>
                <c:pt idx="1">
                  <c:v>10603.960396039611</c:v>
                </c:pt>
                <c:pt idx="2">
                  <c:v>20596.153846153855</c:v>
                </c:pt>
                <c:pt idx="3">
                  <c:v>29477.064220183493</c:v>
                </c:pt>
                <c:pt idx="4">
                  <c:v>36931.034482758623</c:v>
                </c:pt>
                <c:pt idx="5">
                  <c:v>42840.000000000007</c:v>
                </c:pt>
                <c:pt idx="6">
                  <c:v>47250.000000000007</c:v>
                </c:pt>
                <c:pt idx="7">
                  <c:v>50315.43624161074</c:v>
                </c:pt>
                <c:pt idx="8">
                  <c:v>52243.902439024394</c:v>
                </c:pt>
                <c:pt idx="9">
                  <c:v>53254.143646408847</c:v>
                </c:pt>
                <c:pt idx="10">
                  <c:v>53550</c:v>
                </c:pt>
                <c:pt idx="11">
                  <c:v>53307.692307692305</c:v>
                </c:pt>
                <c:pt idx="12">
                  <c:v>52672.131147540982</c:v>
                </c:pt>
                <c:pt idx="13">
                  <c:v>51758.364312267651</c:v>
                </c:pt>
                <c:pt idx="14">
                  <c:v>50655.405405405407</c:v>
                </c:pt>
                <c:pt idx="15">
                  <c:v>49430.76923076922</c:v>
                </c:pt>
                <c:pt idx="16">
                  <c:v>48134.831460674155</c:v>
                </c:pt>
                <c:pt idx="17">
                  <c:v>46804.62724935732</c:v>
                </c:pt>
                <c:pt idx="18">
                  <c:v>45466.98113207546</c:v>
                </c:pt>
                <c:pt idx="19">
                  <c:v>44140.997830802597</c:v>
                </c:pt>
                <c:pt idx="20">
                  <c:v>42840</c:v>
                </c:pt>
                <c:pt idx="21">
                  <c:v>41573.012939001848</c:v>
                </c:pt>
                <c:pt idx="22">
                  <c:v>40345.890410958898</c:v>
                </c:pt>
                <c:pt idx="23">
                  <c:v>39162.162162162153</c:v>
                </c:pt>
                <c:pt idx="24">
                  <c:v>38023.668639053241</c:v>
                </c:pt>
                <c:pt idx="25">
                  <c:v>36931.034482758609</c:v>
                </c:pt>
                <c:pt idx="26">
                  <c:v>35884.020618556693</c:v>
                </c:pt>
                <c:pt idx="27">
                  <c:v>34881.785283474055</c:v>
                </c:pt>
                <c:pt idx="28">
                  <c:v>33923.076923076907</c:v>
                </c:pt>
                <c:pt idx="29">
                  <c:v>33006.376195536657</c:v>
                </c:pt>
                <c:pt idx="30">
                  <c:v>32129.999999999993</c:v>
                </c:pt>
                <c:pt idx="31">
                  <c:v>31292.177191328927</c:v>
                </c:pt>
                <c:pt idx="32">
                  <c:v>30491.103202846967</c:v>
                </c:pt>
                <c:pt idx="33">
                  <c:v>29724.978973927657</c:v>
                </c:pt>
                <c:pt idx="34">
                  <c:v>28992.038216560497</c:v>
                </c:pt>
                <c:pt idx="35">
                  <c:v>28290.566037735836</c:v>
                </c:pt>
                <c:pt idx="36">
                  <c:v>28290.566037735847</c:v>
                </c:pt>
                <c:pt idx="37">
                  <c:v>0</c:v>
                </c:pt>
                <c:pt idx="38">
                  <c:v>1.4052955088668384E-6</c:v>
                </c:pt>
                <c:pt idx="39">
                  <c:v>2271368316.8316846</c:v>
                </c:pt>
                <c:pt idx="40">
                  <c:v>4411696153.8461561</c:v>
                </c:pt>
                <c:pt idx="41">
                  <c:v>6313987155.9633045</c:v>
                </c:pt>
                <c:pt idx="42">
                  <c:v>7910627586.2068968</c:v>
                </c:pt>
                <c:pt idx="43">
                  <c:v>9176328000.0000019</c:v>
                </c:pt>
                <c:pt idx="44">
                  <c:v>10120950000.000002</c:v>
                </c:pt>
                <c:pt idx="45">
                  <c:v>10777566442.95302</c:v>
                </c:pt>
                <c:pt idx="46">
                  <c:v>11190643902.439026</c:v>
                </c:pt>
                <c:pt idx="47">
                  <c:v>11407037569.060776</c:v>
                </c:pt>
                <c:pt idx="48">
                  <c:v>11470410000</c:v>
                </c:pt>
                <c:pt idx="49">
                  <c:v>11418507692.307692</c:v>
                </c:pt>
                <c:pt idx="50">
                  <c:v>11282370491.803278</c:v>
                </c:pt>
                <c:pt idx="51">
                  <c:v>11086641635.687731</c:v>
                </c:pt>
                <c:pt idx="52">
                  <c:v>10850387837.837837</c:v>
                </c:pt>
                <c:pt idx="53">
                  <c:v>10588070769.230766</c:v>
                </c:pt>
                <c:pt idx="54">
                  <c:v>10310480898.876404</c:v>
                </c:pt>
                <c:pt idx="55">
                  <c:v>10025551156.812338</c:v>
                </c:pt>
                <c:pt idx="56">
                  <c:v>9739027358.4905643</c:v>
                </c:pt>
                <c:pt idx="57">
                  <c:v>9455001735.3579159</c:v>
                </c:pt>
                <c:pt idx="58">
                  <c:v>9176328000</c:v>
                </c:pt>
                <c:pt idx="59">
                  <c:v>8904939371.5341969</c:v>
                </c:pt>
                <c:pt idx="60">
                  <c:v>8642089726.0273952</c:v>
                </c:pt>
                <c:pt idx="61">
                  <c:v>8388535135.1351328</c:v>
                </c:pt>
                <c:pt idx="62">
                  <c:v>8144669822.4852047</c:v>
                </c:pt>
                <c:pt idx="63">
                  <c:v>7910627586.2068939</c:v>
                </c:pt>
                <c:pt idx="64">
                  <c:v>7686357216.4948435</c:v>
                </c:pt>
                <c:pt idx="65">
                  <c:v>7471678407.7201424</c:v>
                </c:pt>
                <c:pt idx="66">
                  <c:v>7266323076.9230738</c:v>
                </c:pt>
                <c:pt idx="67">
                  <c:v>7069965781.083952</c:v>
                </c:pt>
                <c:pt idx="68">
                  <c:v>6882245999.9999981</c:v>
                </c:pt>
                <c:pt idx="69">
                  <c:v>6702784354.3826561</c:v>
                </c:pt>
                <c:pt idx="70">
                  <c:v>6531194306.0498199</c:v>
                </c:pt>
                <c:pt idx="71">
                  <c:v>6367090496.2153044</c:v>
                </c:pt>
                <c:pt idx="72">
                  <c:v>6210094585.9872589</c:v>
                </c:pt>
                <c:pt idx="73">
                  <c:v>6059839245.2830162</c:v>
                </c:pt>
                <c:pt idx="74">
                  <c:v>6059839245.2830181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40-4594-9483-5FBDE717B36B}"/>
            </c:ext>
          </c:extLst>
        </c:ser>
        <c:ser>
          <c:idx val="2"/>
          <c:order val="1"/>
          <c:tx>
            <c:v>Linea normativa</c:v>
          </c:tx>
          <c:spPr>
            <a:ln w="19050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'Calcolo 1'!$M$3:$M$4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'Calcolo 1'!$N$3:$N$4</c:f>
              <c:numCache>
                <c:formatCode>0.0</c:formatCode>
                <c:ptCount val="2"/>
                <c:pt idx="0" formatCode="0">
                  <c:v>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40-4594-9483-5FBDE717B36B}"/>
            </c:ext>
          </c:extLst>
        </c:ser>
        <c:ser>
          <c:idx val="3"/>
          <c:order val="2"/>
          <c:tx>
            <c:v>Linea normativa</c:v>
          </c:tx>
          <c:spPr>
            <a:ln w="19050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'Calcolo 1'!$O$3:$O$4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'Calcolo 1'!$P$3:$P$4</c:f>
              <c:numCache>
                <c:formatCode>General</c:formatCode>
                <c:ptCount val="2"/>
                <c:pt idx="0">
                  <c:v>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440-4594-9483-5FBDE717B36B}"/>
            </c:ext>
          </c:extLst>
        </c:ser>
        <c:ser>
          <c:idx val="5"/>
          <c:order val="4"/>
          <c:tx>
            <c:v> Linea 1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'Calcolo 1'!$Q$7:$Q$8</c:f>
              <c:numCache>
                <c:formatCode>General</c:formatCode>
                <c:ptCount val="2"/>
                <c:pt idx="0">
                  <c:v>0</c:v>
                </c:pt>
                <c:pt idx="1">
                  <c:v>1.8808438909461775</c:v>
                </c:pt>
              </c:numCache>
            </c:numRef>
          </c:xVal>
          <c:yVal>
            <c:numRef>
              <c:f>'Calcolo 1'!$S$7:$S$8</c:f>
              <c:numCache>
                <c:formatCode>General</c:formatCode>
                <c:ptCount val="2"/>
                <c:pt idx="0">
                  <c:v>0</c:v>
                </c:pt>
                <c:pt idx="1">
                  <c:v>44393.412023467237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440-4594-9483-5FBDE717B36B}"/>
            </c:ext>
          </c:extLst>
        </c:ser>
        <c:ser>
          <c:idx val="6"/>
          <c:order val="5"/>
          <c:tx>
            <c:v>Punto 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2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'Calcolo 1'!$Q$8</c:f>
              <c:numCache>
                <c:formatCode>General</c:formatCode>
                <c:ptCount val="1"/>
                <c:pt idx="0">
                  <c:v>1.8808438909461775</c:v>
                </c:pt>
              </c:numCache>
            </c:numRef>
          </c:xVal>
          <c:yVal>
            <c:numRef>
              <c:f>'Calcolo 1'!$S$8</c:f>
              <c:numCache>
                <c:formatCode>General</c:formatCode>
                <c:ptCount val="1"/>
                <c:pt idx="0">
                  <c:v>44393.412023467237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440-4594-9483-5FBDE717B36B}"/>
            </c:ext>
          </c:extLst>
        </c:ser>
        <c:ser>
          <c:idx val="7"/>
          <c:order val="6"/>
          <c:tx>
            <c:v>Linea di crisi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'Calcolo 1'!$N$11:$N$12</c:f>
              <c:numCache>
                <c:formatCode>0.0000</c:formatCode>
                <c:ptCount val="2"/>
                <c:pt idx="0">
                  <c:v>0</c:v>
                </c:pt>
                <c:pt idx="1">
                  <c:v>1.8808438909461775</c:v>
                </c:pt>
              </c:numCache>
            </c:numRef>
          </c:xVal>
          <c:yVal>
            <c:numRef>
              <c:f>'Calcolo 1'!$O$13:$O$14</c:f>
              <c:numCache>
                <c:formatCode>General</c:formatCode>
                <c:ptCount val="2"/>
                <c:pt idx="0">
                  <c:v>44393.412023467245</c:v>
                </c:pt>
                <c:pt idx="1">
                  <c:v>44393.412023467245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440-4594-9483-5FBDE717B36B}"/>
            </c:ext>
          </c:extLst>
        </c:ser>
        <c:ser>
          <c:idx val="8"/>
          <c:order val="7"/>
          <c:tx>
            <c:v>Linea di crisi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'Calcolo 1'!$P$11:$P$12</c:f>
              <c:numCache>
                <c:formatCode>General</c:formatCode>
                <c:ptCount val="2"/>
                <c:pt idx="0">
                  <c:v>1.8808438909461775</c:v>
                </c:pt>
                <c:pt idx="1">
                  <c:v>1.8808438909461775</c:v>
                </c:pt>
              </c:numCache>
            </c:numRef>
          </c:xVal>
          <c:yVal>
            <c:numRef>
              <c:f>'Calcolo 1'!$Q$13:$Q$14</c:f>
              <c:numCache>
                <c:formatCode>General</c:formatCode>
                <c:ptCount val="2"/>
                <c:pt idx="0">
                  <c:v>0</c:v>
                </c:pt>
                <c:pt idx="1">
                  <c:v>44393.412023467245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440-4594-9483-5FBDE717B36B}"/>
            </c:ext>
          </c:extLst>
        </c:ser>
        <c:ser>
          <c:idx val="9"/>
          <c:order val="8"/>
          <c:tx>
            <c:v>Taglio sollecitante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'Calcolo 1'!$E$7:$E$8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'Calcolo 1'!$D$9:$D$10</c:f>
              <c:numCache>
                <c:formatCode>#,##0.00</c:formatCode>
                <c:ptCount val="2"/>
                <c:pt idx="0">
                  <c:v>259.24</c:v>
                </c:pt>
                <c:pt idx="1">
                  <c:v>259.24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440-4594-9483-5FBDE717B36B}"/>
            </c:ext>
          </c:extLst>
        </c:ser>
        <c:ser>
          <c:idx val="1"/>
          <c:order val="9"/>
          <c:tx>
            <c:v>Punto taglio resistente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C0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'Calcolo 1'!$C$2</c:f>
              <c:numCache>
                <c:formatCode>0.000</c:formatCode>
                <c:ptCount val="1"/>
                <c:pt idx="0">
                  <c:v>1.8808438909461775</c:v>
                </c:pt>
              </c:numCache>
            </c:numRef>
          </c:xVal>
          <c:yVal>
            <c:numRef>
              <c:f>'Calcolo 1'!$F$2</c:f>
              <c:numCache>
                <c:formatCode>#,##0.00</c:formatCode>
                <c:ptCount val="1"/>
                <c:pt idx="0">
                  <c:v>44393.412023467245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440-4594-9483-5FBDE717B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669136"/>
        <c:axId val="696666336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3"/>
                <c:tx>
                  <c:v>Crisi armatura trasversale</c:v>
                </c:tx>
                <c:spPr>
                  <a:ln w="1905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'Calcolo 1'!$Q$7:$Q$8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1.8808438909461775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'Calcolo 1'!$S$7:$S$8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44393.412023467237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9-F440-4594-9483-5FBDE717B36B}"/>
                  </c:ext>
                </c:extLst>
              </c15:ser>
            </c15:filteredScatterSeries>
          </c:ext>
        </c:extLst>
      </c:scatterChart>
      <c:valAx>
        <c:axId val="69666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1"/>
                  <a:t>Cotg</a:t>
                </a:r>
                <a:r>
                  <a:rPr lang="it-IT" sz="1100" b="1" baseline="0"/>
                  <a:t> </a:t>
                </a:r>
                <a:r>
                  <a:rPr lang="it-IT" sz="1100" b="1" baseline="0">
                    <a:latin typeface="GreekC" panose="00000400000000000000" pitchFamily="2" charset="0"/>
                    <a:cs typeface="GreekC" panose="00000400000000000000" pitchFamily="2" charset="0"/>
                  </a:rPr>
                  <a:t>j</a:t>
                </a:r>
                <a:endParaRPr lang="it-IT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96666336"/>
        <c:crosses val="autoZero"/>
        <c:crossBetween val="midCat"/>
      </c:valAx>
      <c:valAx>
        <c:axId val="69666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1"/>
                  <a:t>V</a:t>
                </a:r>
              </a:p>
              <a:p>
                <a:pPr>
                  <a:defRPr sz="1100" b="1"/>
                </a:pPr>
                <a:r>
                  <a:rPr lang="it-IT" sz="1100" b="1" baseline="0"/>
                  <a:t>[daN] </a:t>
                </a:r>
              </a:p>
            </c:rich>
          </c:tx>
          <c:layout>
            <c:manualLayout>
              <c:xMode val="edge"/>
              <c:yMode val="edge"/>
              <c:x val="1.2421460422750967E-2"/>
              <c:y val="0.44167433368153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96669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0269384059541915"/>
          <c:y val="3.2655027803994881E-2"/>
          <c:w val="0.17754960406155726"/>
          <c:h val="0.365715427728496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0523687126565"/>
          <c:y val="3.8590689392012212E-2"/>
          <c:w val="0.62068241469816277"/>
          <c:h val="0.8278647514741696"/>
        </c:manualLayout>
      </c:layout>
      <c:scatterChart>
        <c:scatterStyle val="smoothMarker"/>
        <c:varyColors val="0"/>
        <c:ser>
          <c:idx val="0"/>
          <c:order val="0"/>
          <c:tx>
            <c:v>Crisi biella compressa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 Dati 2'!$H$3:$H$39</c:f>
              <c:numCache>
                <c:formatCode>General</c:formatCode>
                <c:ptCount val="3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3.5</c:v>
                </c:pt>
              </c:numCache>
            </c:numRef>
          </c:xVal>
          <c:yVal>
            <c:numRef>
              <c:f>' Dati 2'!$I$41:$I$77</c:f>
              <c:numCache>
                <c:formatCode>General</c:formatCode>
                <c:ptCount val="37"/>
                <c:pt idx="0">
                  <c:v>7.7322181860420264E-12</c:v>
                </c:pt>
                <c:pt idx="1">
                  <c:v>12497.524752475254</c:v>
                </c:pt>
                <c:pt idx="2">
                  <c:v>24274.038461538468</c:v>
                </c:pt>
                <c:pt idx="3">
                  <c:v>34740.825688073397</c:v>
                </c:pt>
                <c:pt idx="4">
                  <c:v>43525.862068965514</c:v>
                </c:pt>
                <c:pt idx="5">
                  <c:v>50490.000000000007</c:v>
                </c:pt>
                <c:pt idx="6">
                  <c:v>55687.500000000007</c:v>
                </c:pt>
                <c:pt idx="7">
                  <c:v>59300.335570469797</c:v>
                </c:pt>
                <c:pt idx="8">
                  <c:v>61573.170731707316</c:v>
                </c:pt>
                <c:pt idx="9">
                  <c:v>62763.812154696134</c:v>
                </c:pt>
                <c:pt idx="10">
                  <c:v>63112.499999999993</c:v>
                </c:pt>
                <c:pt idx="11">
                  <c:v>62826.923076923063</c:v>
                </c:pt>
                <c:pt idx="12">
                  <c:v>62077.868852459011</c:v>
                </c:pt>
                <c:pt idx="13">
                  <c:v>61000.929368029727</c:v>
                </c:pt>
                <c:pt idx="14">
                  <c:v>59701.013513513506</c:v>
                </c:pt>
                <c:pt idx="15">
                  <c:v>58257.69230769229</c:v>
                </c:pt>
                <c:pt idx="16">
                  <c:v>56730.337078651675</c:v>
                </c:pt>
                <c:pt idx="17">
                  <c:v>55162.596401028262</c:v>
                </c:pt>
                <c:pt idx="18">
                  <c:v>53586.084905660362</c:v>
                </c:pt>
                <c:pt idx="19">
                  <c:v>52023.318872017342</c:v>
                </c:pt>
                <c:pt idx="20">
                  <c:v>50489.999999999993</c:v>
                </c:pt>
                <c:pt idx="21">
                  <c:v>48996.765249537886</c:v>
                </c:pt>
                <c:pt idx="22">
                  <c:v>47550.513698630122</c:v>
                </c:pt>
                <c:pt idx="23">
                  <c:v>46155.405405405385</c:v>
                </c:pt>
                <c:pt idx="24">
                  <c:v>44813.609467455601</c:v>
                </c:pt>
                <c:pt idx="25">
                  <c:v>43525.8620689655</c:v>
                </c:pt>
                <c:pt idx="26">
                  <c:v>42291.881443298953</c:v>
                </c:pt>
                <c:pt idx="27">
                  <c:v>41110.675512665846</c:v>
                </c:pt>
                <c:pt idx="28">
                  <c:v>39980.769230769212</c:v>
                </c:pt>
                <c:pt idx="29">
                  <c:v>38900.371944739622</c:v>
                </c:pt>
                <c:pt idx="30">
                  <c:v>37867.499999999985</c:v>
                </c:pt>
                <c:pt idx="31">
                  <c:v>36880.065975494799</c:v>
                </c:pt>
                <c:pt idx="32">
                  <c:v>35935.943060498204</c:v>
                </c:pt>
                <c:pt idx="33">
                  <c:v>35033.010933557591</c:v>
                </c:pt>
                <c:pt idx="34">
                  <c:v>34169.187898089156</c:v>
                </c:pt>
                <c:pt idx="35">
                  <c:v>33342.45283018866</c:v>
                </c:pt>
                <c:pt idx="36">
                  <c:v>33342.452830188675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DD-4069-8D48-2EF6E6C4DD28}"/>
            </c:ext>
          </c:extLst>
        </c:ser>
        <c:ser>
          <c:idx val="1"/>
          <c:order val="1"/>
          <c:tx>
            <c:v>Linea</c:v>
          </c:tx>
          <c:spPr>
            <a:ln w="1905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 Dati 2'!$M$3:$M$4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 Dati 2'!$N$3:$N$4</c:f>
              <c:numCache>
                <c:formatCode>0.0</c:formatCode>
                <c:ptCount val="2"/>
                <c:pt idx="0" formatCode="0">
                  <c:v>0</c:v>
                </c:pt>
                <c:pt idx="1">
                  <c:v>120000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DD-4069-8D48-2EF6E6C4DD28}"/>
            </c:ext>
          </c:extLst>
        </c:ser>
        <c:ser>
          <c:idx val="2"/>
          <c:order val="2"/>
          <c:tx>
            <c:v>Linea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DD-4069-8D48-2EF6E6C4DD28}"/>
              </c:ext>
            </c:extLst>
          </c:dPt>
          <c:xVal>
            <c:numRef>
              <c:f>' Dati 2'!$O$3:$O$4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 Dati 2'!$P$3:$P$4</c:f>
              <c:numCache>
                <c:formatCode>General</c:formatCode>
                <c:ptCount val="2"/>
                <c:pt idx="0">
                  <c:v>0</c:v>
                </c:pt>
                <c:pt idx="1">
                  <c:v>120000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2DD-4069-8D48-2EF6E6C4DD28}"/>
            </c:ext>
          </c:extLst>
        </c:ser>
        <c:ser>
          <c:idx val="4"/>
          <c:order val="3"/>
          <c:tx>
            <c:v>Crisi armatura trasversale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 Dati 2'!$Q$3:$Q$4</c:f>
              <c:numCache>
                <c:formatCode>General</c:formatCode>
                <c:ptCount val="2"/>
                <c:pt idx="0">
                  <c:v>0</c:v>
                </c:pt>
                <c:pt idx="1">
                  <c:v>1.9015044805602617</c:v>
                </c:pt>
              </c:numCache>
            </c:numRef>
          </c:xVal>
          <c:yVal>
            <c:numRef>
              <c:f>' Dati 2'!$S$3:$S$4</c:f>
              <c:numCache>
                <c:formatCode>General</c:formatCode>
                <c:ptCount val="2"/>
                <c:pt idx="0">
                  <c:v>0</c:v>
                </c:pt>
                <c:pt idx="1">
                  <c:v>52000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2DD-4069-8D48-2EF6E6C4DD28}"/>
            </c:ext>
          </c:extLst>
        </c:ser>
        <c:ser>
          <c:idx val="5"/>
          <c:order val="4"/>
          <c:tx>
            <c:strRef>
              <c:f>'Progetto a Taglio'!$N$6</c:f>
              <c:strCache>
                <c:ptCount val="1"/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 Dati 2'!$Q$7:$Q$8</c:f>
              <c:numCache>
                <c:formatCode>General</c:formatCode>
                <c:ptCount val="2"/>
                <c:pt idx="0">
                  <c:v>1.9015044805602614</c:v>
                </c:pt>
                <c:pt idx="1">
                  <c:v>1.9015044805602614</c:v>
                </c:pt>
              </c:numCache>
            </c:numRef>
          </c:xVal>
          <c:yVal>
            <c:numRef>
              <c:f>' Dati 2'!$S$7:$S$8</c:f>
              <c:numCache>
                <c:formatCode>General</c:formatCode>
                <c:ptCount val="2"/>
                <c:pt idx="0">
                  <c:v>52000</c:v>
                </c:pt>
                <c:pt idx="1">
                  <c:v>52000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2DD-4069-8D48-2EF6E6C4DD28}"/>
            </c:ext>
          </c:extLst>
        </c:ser>
        <c:ser>
          <c:idx val="6"/>
          <c:order val="5"/>
          <c:tx>
            <c:v>Punto di calcolo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C0000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 Dati 2'!$Q$8</c:f>
              <c:numCache>
                <c:formatCode>General</c:formatCode>
                <c:ptCount val="1"/>
                <c:pt idx="0">
                  <c:v>1.9015044805602614</c:v>
                </c:pt>
              </c:numCache>
            </c:numRef>
          </c:xVal>
          <c:yVal>
            <c:numRef>
              <c:f>' Dati 2'!$S$8</c:f>
              <c:numCache>
                <c:formatCode>General</c:formatCode>
                <c:ptCount val="1"/>
                <c:pt idx="0">
                  <c:v>52000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2DD-4069-8D48-2EF6E6C4DD28}"/>
            </c:ext>
          </c:extLst>
        </c:ser>
        <c:ser>
          <c:idx val="3"/>
          <c:order val="6"/>
          <c:tx>
            <c:v>Punto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C0000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 Dati 2'!$C$2</c:f>
              <c:numCache>
                <c:formatCode>General</c:formatCode>
                <c:ptCount val="1"/>
                <c:pt idx="0">
                  <c:v>1.9015044805602614</c:v>
                </c:pt>
              </c:numCache>
            </c:numRef>
          </c:xVal>
          <c:yVal>
            <c:numRef>
              <c:f>' Dati 2'!$F$2</c:f>
              <c:numCache>
                <c:formatCode>#,##0.00</c:formatCode>
                <c:ptCount val="1"/>
                <c:pt idx="0">
                  <c:v>52000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2DD-4069-8D48-2EF6E6C4DD28}"/>
            </c:ext>
          </c:extLst>
        </c:ser>
        <c:ser>
          <c:idx val="7"/>
          <c:order val="7"/>
          <c:tx>
            <c:v>Taglio sollecitante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 Dati 2'!$Q$12:$Q$13</c:f>
              <c:numCache>
                <c:formatCode>General</c:formatCode>
                <c:ptCount val="2"/>
                <c:pt idx="0">
                  <c:v>0</c:v>
                </c:pt>
                <c:pt idx="1">
                  <c:v>1.9015044805602614</c:v>
                </c:pt>
              </c:numCache>
              <c:extLst xmlns:c15="http://schemas.microsoft.com/office/drawing/2012/chart"/>
            </c:numRef>
          </c:xVal>
          <c:yVal>
            <c:numRef>
              <c:f>' Dati 2'!$S$12:$S$13</c:f>
              <c:numCache>
                <c:formatCode>General</c:formatCode>
                <c:ptCount val="2"/>
                <c:pt idx="0">
                  <c:v>52000</c:v>
                </c:pt>
                <c:pt idx="1">
                  <c:v>52000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2DD-4069-8D48-2EF6E6C4D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542288"/>
        <c:axId val="944552368"/>
        <c:extLst/>
      </c:scatterChart>
      <c:valAx>
        <c:axId val="944542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Cot </a:t>
                </a:r>
                <a:r>
                  <a:rPr lang="en-US" sz="1100" b="1">
                    <a:latin typeface="GreekC" panose="00000400000000000000" pitchFamily="2" charset="0"/>
                    <a:cs typeface="GreekC" panose="00000400000000000000" pitchFamily="2" charset="0"/>
                  </a:rPr>
                  <a:t>j</a:t>
                </a:r>
                <a:endParaRPr lang="en-US" sz="11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4552368"/>
        <c:crosses val="autoZero"/>
        <c:crossBetween val="midCat"/>
      </c:valAx>
      <c:valAx>
        <c:axId val="94455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1"/>
                  <a:t>V</a:t>
                </a:r>
              </a:p>
              <a:p>
                <a:pPr>
                  <a:defRPr sz="1100" b="1"/>
                </a:pPr>
                <a:r>
                  <a:rPr lang="it-IT" sz="1100" b="1"/>
                  <a:t>[daN]</a:t>
                </a:r>
              </a:p>
            </c:rich>
          </c:tx>
          <c:layout>
            <c:manualLayout>
              <c:xMode val="edge"/>
              <c:yMode val="edge"/>
              <c:x val="1.0474249668881452E-2"/>
              <c:y val="0.465565145094340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4542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77643940424862923"/>
          <c:y val="3.9871229515004235E-2"/>
          <c:w val="0.22245097881771025"/>
          <c:h val="0.38035223458314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42861</xdr:rowOff>
    </xdr:from>
    <xdr:to>
      <xdr:col>11</xdr:col>
      <xdr:colOff>402166</xdr:colOff>
      <xdr:row>19</xdr:row>
      <xdr:rowOff>21166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</xdr:row>
          <xdr:rowOff>47625</xdr:rowOff>
        </xdr:from>
        <xdr:to>
          <xdr:col>14</xdr:col>
          <xdr:colOff>495300</xdr:colOff>
          <xdr:row>12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74612</xdr:rowOff>
    </xdr:from>
    <xdr:to>
      <xdr:col>10</xdr:col>
      <xdr:colOff>438680</xdr:colOff>
      <xdr:row>18</xdr:row>
      <xdr:rowOff>83344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533400</xdr:colOff>
          <xdr:row>3</xdr:row>
          <xdr:rowOff>47625</xdr:rowOff>
        </xdr:from>
        <xdr:to>
          <xdr:col>13</xdr:col>
          <xdr:colOff>523875</xdr:colOff>
          <xdr:row>11</xdr:row>
          <xdr:rowOff>190500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3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4"/>
  <sheetViews>
    <sheetView tabSelected="1" topLeftCell="M1" zoomScale="75" zoomScaleNormal="75" workbookViewId="0">
      <selection activeCell="S12" sqref="S12"/>
    </sheetView>
  </sheetViews>
  <sheetFormatPr defaultRowHeight="15" x14ac:dyDescent="0.25"/>
  <cols>
    <col min="1" max="3" width="7.85546875" bestFit="1" customWidth="1"/>
    <col min="4" max="5" width="10.7109375" customWidth="1"/>
    <col min="6" max="6" width="7.7109375" bestFit="1" customWidth="1"/>
    <col min="7" max="7" width="6.42578125" bestFit="1" customWidth="1"/>
    <col min="11" max="11" width="8.28515625" bestFit="1" customWidth="1"/>
    <col min="12" max="12" width="7.85546875" bestFit="1" customWidth="1"/>
    <col min="13" max="13" width="9.28515625" bestFit="1" customWidth="1"/>
    <col min="14" max="14" width="11" bestFit="1" customWidth="1"/>
    <col min="15" max="15" width="8.5703125" customWidth="1"/>
    <col min="16" max="16" width="12.85546875" customWidth="1"/>
    <col min="17" max="18" width="12" bestFit="1" customWidth="1"/>
    <col min="19" max="19" width="19.5703125" customWidth="1"/>
    <col min="20" max="20" width="18.28515625" customWidth="1"/>
    <col min="21" max="21" width="12.42578125" bestFit="1" customWidth="1"/>
    <col min="22" max="22" width="11.5703125" bestFit="1" customWidth="1"/>
    <col min="25" max="25" width="12" customWidth="1"/>
    <col min="26" max="26" width="11" customWidth="1"/>
    <col min="27" max="27" width="10" customWidth="1"/>
  </cols>
  <sheetData>
    <row r="1" spans="1:21" ht="19.5" thickBot="1" x14ac:dyDescent="0.35">
      <c r="A1" s="152" t="s">
        <v>12</v>
      </c>
      <c r="B1" s="153"/>
      <c r="C1" s="154"/>
      <c r="D1" s="152" t="s">
        <v>2</v>
      </c>
      <c r="E1" s="153"/>
      <c r="F1" s="153"/>
      <c r="G1" s="154"/>
      <c r="H1" s="155" t="s">
        <v>95</v>
      </c>
      <c r="I1" s="156"/>
      <c r="J1" s="156"/>
      <c r="K1" s="157"/>
      <c r="L1" s="155"/>
      <c r="M1" s="156"/>
      <c r="N1" s="156"/>
      <c r="O1" s="157"/>
      <c r="P1" s="137"/>
      <c r="Q1" s="158" t="s">
        <v>56</v>
      </c>
      <c r="R1" s="159"/>
      <c r="S1" s="160"/>
      <c r="T1" s="36"/>
    </row>
    <row r="2" spans="1:21" ht="45.75" thickBot="1" x14ac:dyDescent="0.3">
      <c r="A2" s="63" t="s">
        <v>70</v>
      </c>
      <c r="B2" s="64" t="s">
        <v>71</v>
      </c>
      <c r="C2" s="65" t="s">
        <v>72</v>
      </c>
      <c r="D2" s="30" t="s">
        <v>10</v>
      </c>
      <c r="E2" s="27" t="s">
        <v>8</v>
      </c>
      <c r="F2" s="28" t="s">
        <v>48</v>
      </c>
      <c r="G2" s="29" t="s">
        <v>9</v>
      </c>
      <c r="H2" s="97" t="s">
        <v>98</v>
      </c>
      <c r="I2" s="98" t="s">
        <v>96</v>
      </c>
      <c r="J2" s="99" t="s">
        <v>99</v>
      </c>
      <c r="K2" s="100" t="s">
        <v>97</v>
      </c>
      <c r="L2" s="67" t="s">
        <v>52</v>
      </c>
      <c r="M2" s="66" t="s">
        <v>51</v>
      </c>
      <c r="N2" s="31" t="s">
        <v>19</v>
      </c>
      <c r="O2" s="32" t="s">
        <v>16</v>
      </c>
      <c r="P2" s="107" t="s">
        <v>103</v>
      </c>
      <c r="Q2" s="69" t="s">
        <v>57</v>
      </c>
      <c r="R2" s="69" t="s">
        <v>74</v>
      </c>
      <c r="S2" s="69" t="s">
        <v>120</v>
      </c>
      <c r="T2" s="37" t="s">
        <v>53</v>
      </c>
    </row>
    <row r="3" spans="1:21" ht="16.5" thickBot="1" x14ac:dyDescent="0.3">
      <c r="A3" s="10">
        <v>30</v>
      </c>
      <c r="B3" s="10">
        <v>60</v>
      </c>
      <c r="C3" s="10">
        <v>4</v>
      </c>
      <c r="D3" s="10" t="s">
        <v>42</v>
      </c>
      <c r="E3" s="26">
        <v>1.5</v>
      </c>
      <c r="F3" s="10" t="s">
        <v>49</v>
      </c>
      <c r="G3" s="26">
        <v>1.1499999999999999</v>
      </c>
      <c r="H3" s="138">
        <v>14</v>
      </c>
      <c r="I3" s="138">
        <v>3</v>
      </c>
      <c r="J3" s="138">
        <v>14</v>
      </c>
      <c r="K3" s="138">
        <v>3</v>
      </c>
      <c r="L3" s="101">
        <v>8.4</v>
      </c>
      <c r="M3" s="33">
        <v>8</v>
      </c>
      <c r="N3" s="10">
        <v>2</v>
      </c>
      <c r="O3" s="10">
        <v>90</v>
      </c>
      <c r="P3" s="127" t="str">
        <f>'Calcolo 1'!$T$20</f>
        <v>A</v>
      </c>
      <c r="Q3" s="92">
        <v>259.24</v>
      </c>
      <c r="R3" s="93">
        <v>0</v>
      </c>
      <c r="S3" s="92">
        <v>0</v>
      </c>
      <c r="T3" s="147" t="str">
        <f>IF($Q3&lt;='Dati 1'!$S3,"VERIFICA","NON VERIFICA")</f>
        <v>VERIFICA</v>
      </c>
    </row>
    <row r="4" spans="1:21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M4" s="24"/>
      <c r="N4" s="9"/>
      <c r="O4" s="9"/>
      <c r="P4" s="9"/>
      <c r="Q4" s="9"/>
    </row>
    <row r="5" spans="1:21" ht="15.75" thickBot="1" x14ac:dyDescent="0.3"/>
    <row r="6" spans="1:21" ht="38.25" thickBot="1" x14ac:dyDescent="0.3">
      <c r="B6" t="s">
        <v>90</v>
      </c>
      <c r="D6" t="s">
        <v>102</v>
      </c>
      <c r="P6" s="132" t="s">
        <v>103</v>
      </c>
      <c r="Q6" s="123" t="s">
        <v>111</v>
      </c>
      <c r="R6" s="123" t="s">
        <v>25</v>
      </c>
      <c r="S6" s="124" t="s">
        <v>78</v>
      </c>
      <c r="T6" s="124" t="s">
        <v>76</v>
      </c>
      <c r="U6" s="125" t="s">
        <v>77</v>
      </c>
    </row>
    <row r="7" spans="1:21" ht="16.5" thickBot="1" x14ac:dyDescent="0.3">
      <c r="B7">
        <f>(0.26*0.3*('Dati 1'!$F$17^(2/3))*$A$3*($B$3-$C$3))/'Dati 1'!$E$19</f>
        <v>1.155627965832849</v>
      </c>
      <c r="C7" s="11">
        <f>0.0013*$A$3*($B$3-$C$3)</f>
        <v>2.1840000000000002</v>
      </c>
      <c r="D7">
        <f>(1.5*$M$3)</f>
        <v>12</v>
      </c>
      <c r="P7" s="128">
        <f>'Calcolo 1'!O21</f>
        <v>8.3999999999999986</v>
      </c>
      <c r="Q7" s="131">
        <f>'Calcolo 1'!$B$2</f>
        <v>1.8808438909461775</v>
      </c>
      <c r="R7" s="131">
        <f>'Calcolo 1'!$C$2</f>
        <v>1.8808438909461775</v>
      </c>
      <c r="S7" s="121">
        <f>'Calcolo 1'!$D$2</f>
        <v>44393.412023467245</v>
      </c>
      <c r="T7" s="121">
        <f>'Calcolo 1'!$E$2</f>
        <v>44393.412023467237</v>
      </c>
      <c r="U7" s="122">
        <f>'Dati 1'!$S$3</f>
        <v>44393.412023467245</v>
      </c>
    </row>
    <row r="8" spans="1:21" x14ac:dyDescent="0.25">
      <c r="B8" t="s">
        <v>91</v>
      </c>
      <c r="C8" s="95" t="s">
        <v>92</v>
      </c>
    </row>
    <row r="9" spans="1:21" ht="15.75" thickBot="1" x14ac:dyDescent="0.3">
      <c r="B9" s="11">
        <f>'Dati 1'!$G$7</f>
        <v>4.6181412007769955</v>
      </c>
      <c r="C9" s="11">
        <f>'Dati 1'!$H$7</f>
        <v>4.6181412007769955</v>
      </c>
    </row>
    <row r="10" spans="1:21" ht="32.25" thickBot="1" x14ac:dyDescent="0.3">
      <c r="B10">
        <f>IF($S$3&gt;0,$B$9,$C$9)</f>
        <v>4.6181412007769955</v>
      </c>
      <c r="C10" s="17">
        <f>0.04*$A$3*$B$3</f>
        <v>72</v>
      </c>
      <c r="S10" s="107" t="s">
        <v>121</v>
      </c>
    </row>
    <row r="11" spans="1:21" ht="16.5" thickBot="1" x14ac:dyDescent="0.3">
      <c r="B11" s="96" t="s">
        <v>93</v>
      </c>
      <c r="C11" s="96" t="s">
        <v>94</v>
      </c>
      <c r="S11" s="148">
        <v>265</v>
      </c>
    </row>
    <row r="12" spans="1:21" x14ac:dyDescent="0.25">
      <c r="B12">
        <f>$B$9/($A$3*$B$3)</f>
        <v>2.565634000431664E-3</v>
      </c>
      <c r="C12" s="94">
        <f>$C$9/($A$3*$B$3)</f>
        <v>2.565634000431664E-3</v>
      </c>
    </row>
    <row r="20" spans="1:27" ht="15.75" thickBot="1" x14ac:dyDescent="0.3"/>
    <row r="21" spans="1:27" ht="15.75" thickBot="1" x14ac:dyDescent="0.3">
      <c r="A21" s="161" t="s">
        <v>115</v>
      </c>
      <c r="B21" s="161"/>
      <c r="C21" s="161"/>
      <c r="D21" s="149" t="s">
        <v>86</v>
      </c>
      <c r="E21" s="151"/>
      <c r="F21" s="120"/>
      <c r="G21" s="162" t="s">
        <v>87</v>
      </c>
      <c r="H21" s="162"/>
      <c r="I21" s="163" t="s">
        <v>88</v>
      </c>
      <c r="J21" s="163"/>
      <c r="K21" s="163" t="s">
        <v>102</v>
      </c>
      <c r="L21" s="163"/>
      <c r="M21" s="127" t="s">
        <v>89</v>
      </c>
      <c r="N21" s="129"/>
      <c r="O21" s="162" t="s">
        <v>107</v>
      </c>
      <c r="P21" s="162"/>
      <c r="Q21" s="162" t="s">
        <v>107</v>
      </c>
      <c r="R21" s="162"/>
      <c r="S21" s="164" t="s">
        <v>89</v>
      </c>
      <c r="T21" s="162"/>
    </row>
    <row r="22" spans="1:27" ht="16.5" thickBot="1" x14ac:dyDescent="0.3">
      <c r="A22" s="161"/>
      <c r="B22" s="161"/>
      <c r="C22" s="161"/>
      <c r="D22" s="149" t="s">
        <v>112</v>
      </c>
      <c r="E22" s="151"/>
      <c r="F22" s="120"/>
      <c r="G22" s="171" t="str">
        <f>IF($S$3&gt;0,IF($B$9&lt;$C$7,IF($B$9&lt;$B$7,"NON VERIFICA","VERIFICA"),"VERIFICA"),IF($C$9&lt;$C$7,IF($C$9&lt;$B$7,"NON VERIFICA","VERIFICA"),"VERIFICA"))</f>
        <v>VERIFICA</v>
      </c>
      <c r="H22" s="171"/>
      <c r="I22" s="171" t="str">
        <f>IF(OR($B$9&gt;$C$10,$C$9&gt;$C$10),"NON VERIFICA","VERIFICA")</f>
        <v>VERIFICA</v>
      </c>
      <c r="J22" s="171"/>
      <c r="K22" s="172" t="str">
        <f>IF(((((($M$3/2)^2)*PI())))&lt;$D$7,"NON VERIFICA","VERIFICA")</f>
        <v>VERIFICA</v>
      </c>
      <c r="L22" s="172"/>
      <c r="M22" s="140" t="str">
        <f>IF($L$3&lt;=0.8*($B$3-$C$3),IF($L$3&lt;=33.33333,"VERIFICA","NON VERIFICA"),"NON VERIFICA")</f>
        <v>VERIFICA</v>
      </c>
      <c r="O22" s="172" t="str">
        <f>IF(($B$9+$C$9)&gt;=(0.003*$A$3*$B$3),IF(($B$9+$C$9)&gt;=(0.1*$R$3/'Dati 1'!$H$3),"VERIFICA","NON VERIFICA"),"NON VERIFICA")</f>
        <v>VERIFICA</v>
      </c>
      <c r="P22" s="172"/>
      <c r="Q22" s="172" t="str">
        <f>IF(($B$9+$C$9)&lt;=(0.04*$A$3*$B$3),"VERIFICA","NON VERIFICA")</f>
        <v>VERIFICA</v>
      </c>
      <c r="R22" s="172"/>
      <c r="S22" s="172" t="str">
        <f>IF($L$3&lt;=12*(MIN($H$3,$J$3)/10),"VERIFICA",IF($L$3&lt;=25,"VERIFICA","NON VERIFICA"))</f>
        <v>VERIFICA</v>
      </c>
      <c r="T22" s="172"/>
    </row>
    <row r="23" spans="1:27" ht="15.75" thickBot="1" x14ac:dyDescent="0.3">
      <c r="G23" s="163" t="s">
        <v>87</v>
      </c>
      <c r="H23" s="163"/>
      <c r="I23" s="163" t="s">
        <v>88</v>
      </c>
      <c r="J23" s="163"/>
      <c r="K23" s="164" t="s">
        <v>89</v>
      </c>
      <c r="L23" s="162"/>
      <c r="M23" s="129"/>
      <c r="N23" s="180" t="s">
        <v>117</v>
      </c>
      <c r="O23" s="182" t="s">
        <v>116</v>
      </c>
      <c r="P23" s="175"/>
      <c r="Q23" s="162" t="s">
        <v>89</v>
      </c>
      <c r="R23" s="162"/>
      <c r="S23" s="174" t="s">
        <v>123</v>
      </c>
      <c r="T23" s="175"/>
      <c r="U23" s="176" t="s">
        <v>118</v>
      </c>
      <c r="V23" s="177"/>
      <c r="W23" s="165" t="s">
        <v>119</v>
      </c>
      <c r="X23" s="166"/>
      <c r="Y23" s="149" t="s">
        <v>122</v>
      </c>
      <c r="Z23" s="150"/>
      <c r="AA23" s="151"/>
    </row>
    <row r="24" spans="1:27" ht="57.75" customHeight="1" thickBot="1" x14ac:dyDescent="0.3">
      <c r="G24" s="171" t="str">
        <f>IF($S$3&gt;0,IF(AND($B$9&gt;((1.4*$A$3*($B$3-$C$3))/'Dati 1'!$E$19),$B$12&lt;=($C$12+(3.5/'Dati 1'!$E$19))),"VERIFICA","NON VERIFICA"),IF(AND($C$9&gt;((1.4*$A$3*($B$3-$C$3))/'Dati 1'!$E$19),$C$12&lt;=($B$12+(3.5/'Dati 1'!$E$19))),"VERIFICA","NON VERIFICA"))</f>
        <v>VERIFICA</v>
      </c>
      <c r="H24" s="171"/>
      <c r="I24" s="171" t="str">
        <f>IF($S$3&gt;0,IF($C$12&gt;=0.25*$B$12,"VERIFICA ZONA CRITICA","NON VERIFICA ZONA CRITICA"),IF($B$12&gt;=0.25*$C$12,"VERIFICA ZONA CRITICA","NON VERIFICA ZONA CRITICA"))</f>
        <v>VERIFICA ZONA CRITICA</v>
      </c>
      <c r="J24" s="171"/>
      <c r="K24" s="173" t="str">
        <f>IF($L$3&lt;MIN('Calcolo 1'!M27:M30),"VERIFICA ZONA CRITICA","NON VERIFICA ZONA CRITICA")</f>
        <v>NON VERIFICA ZONA CRITICA</v>
      </c>
      <c r="L24" s="173"/>
      <c r="N24" s="181"/>
      <c r="O24" s="170" t="str">
        <f>IF($B$12+$C$12&gt;=0.01,IF($B$12+$C$12&lt;=0.04,"VERIFICA","NON VERIFICA"),"NON VERIFICA")</f>
        <v>NON VERIFICA</v>
      </c>
      <c r="P24" s="173"/>
      <c r="Q24" s="173" t="str">
        <f>IF($L$3&lt;=MIN('Calcolo 1'!Q27:Q29),"VERIFICA ZONA CRITICA","NON VERIFICA ZONA CRITICA")</f>
        <v>VERIFICA ZONA CRITICA</v>
      </c>
      <c r="R24" s="173"/>
      <c r="S24" s="169" t="str">
        <f>IF((((($M$3/2)^2)*PI()*N3/100)/$L$3)&gt;='Calcolo 1'!$M$24,"VERIFICA","NON VERIFICA")</f>
        <v>NON VERIFICA</v>
      </c>
      <c r="T24" s="170"/>
      <c r="U24" s="178"/>
      <c r="V24" s="179"/>
      <c r="W24" s="167"/>
      <c r="X24" s="168"/>
      <c r="Y24" s="149">
        <f>IF(S11&lt;=B3*3,S11,MAX(45,B3,S11/6))</f>
        <v>60</v>
      </c>
      <c r="Z24" s="150"/>
      <c r="AA24" s="151"/>
    </row>
  </sheetData>
  <sheetProtection selectLockedCells="1" selectUnlockedCells="1"/>
  <mergeCells count="37">
    <mergeCell ref="O23:P23"/>
    <mergeCell ref="G24:H24"/>
    <mergeCell ref="I24:J24"/>
    <mergeCell ref="K24:L24"/>
    <mergeCell ref="O24:P24"/>
    <mergeCell ref="W23:X24"/>
    <mergeCell ref="S24:T24"/>
    <mergeCell ref="G22:H22"/>
    <mergeCell ref="I22:J22"/>
    <mergeCell ref="K22:L22"/>
    <mergeCell ref="O22:P22"/>
    <mergeCell ref="Q22:R22"/>
    <mergeCell ref="Q24:R24"/>
    <mergeCell ref="S22:T22"/>
    <mergeCell ref="Q23:R23"/>
    <mergeCell ref="S23:T23"/>
    <mergeCell ref="U23:V24"/>
    <mergeCell ref="G23:H23"/>
    <mergeCell ref="I23:J23"/>
    <mergeCell ref="K23:L23"/>
    <mergeCell ref="N23:N24"/>
    <mergeCell ref="Y23:AA23"/>
    <mergeCell ref="Y24:AA24"/>
    <mergeCell ref="A1:C1"/>
    <mergeCell ref="D1:G1"/>
    <mergeCell ref="L1:O1"/>
    <mergeCell ref="H1:K1"/>
    <mergeCell ref="Q1:S1"/>
    <mergeCell ref="A21:C22"/>
    <mergeCell ref="D21:E21"/>
    <mergeCell ref="G21:H21"/>
    <mergeCell ref="I21:J21"/>
    <mergeCell ref="K21:L21"/>
    <mergeCell ref="O21:P21"/>
    <mergeCell ref="Q21:R21"/>
    <mergeCell ref="S21:T21"/>
    <mergeCell ref="D22:E22"/>
  </mergeCells>
  <conditionalFormatting sqref="G22:H22">
    <cfRule type="expression" dxfId="57" priority="24">
      <formula>$G$22="NON VERIFICA"</formula>
    </cfRule>
  </conditionalFormatting>
  <conditionalFormatting sqref="I22:J22">
    <cfRule type="expression" dxfId="56" priority="23">
      <formula>$I$22="NON VERIFICA"</formula>
    </cfRule>
  </conditionalFormatting>
  <conditionalFormatting sqref="K22:L22">
    <cfRule type="expression" dxfId="55" priority="22">
      <formula>$K$22="NON VERIFICA"</formula>
    </cfRule>
  </conditionalFormatting>
  <conditionalFormatting sqref="M22">
    <cfRule type="expression" dxfId="54" priority="21">
      <formula>$M$22="NON VERIFICA"</formula>
    </cfRule>
  </conditionalFormatting>
  <conditionalFormatting sqref="I24:J24">
    <cfRule type="expression" dxfId="53" priority="20">
      <formula>$I$24="NON VERIFICA ZONA CRITICA"</formula>
    </cfRule>
  </conditionalFormatting>
  <conditionalFormatting sqref="K24:L24">
    <cfRule type="expression" dxfId="52" priority="19">
      <formula>$K$24="NON VERIFICA ZONA CRITICA"</formula>
    </cfRule>
  </conditionalFormatting>
  <conditionalFormatting sqref="G24:H24">
    <cfRule type="expression" dxfId="51" priority="18">
      <formula>$G$24="NON VERIFICA"</formula>
    </cfRule>
  </conditionalFormatting>
  <conditionalFormatting sqref="G21:M22">
    <cfRule type="expression" dxfId="50" priority="17">
      <formula>$A$21="Pilastro"</formula>
    </cfRule>
  </conditionalFormatting>
  <conditionalFormatting sqref="G23:L24">
    <cfRule type="expression" dxfId="49" priority="14">
      <formula>$D$22="no"</formula>
    </cfRule>
    <cfRule type="expression" dxfId="48" priority="16">
      <formula>$A$21="Pilastro"</formula>
    </cfRule>
  </conditionalFormatting>
  <conditionalFormatting sqref="G21:L22">
    <cfRule type="expression" dxfId="47" priority="15">
      <formula>$D$22="si"</formula>
    </cfRule>
  </conditionalFormatting>
  <conditionalFormatting sqref="M21:M22">
    <cfRule type="expression" dxfId="46" priority="13">
      <formula>$D$22="si"</formula>
    </cfRule>
  </conditionalFormatting>
  <conditionalFormatting sqref="O22:P22">
    <cfRule type="expression" dxfId="45" priority="12">
      <formula>$O$22="NON VERIFICA"</formula>
    </cfRule>
  </conditionalFormatting>
  <conditionalFormatting sqref="Q22:R22">
    <cfRule type="expression" dxfId="44" priority="11">
      <formula>$Q$22="NON VERIFICA"</formula>
    </cfRule>
  </conditionalFormatting>
  <conditionalFormatting sqref="S22:T22">
    <cfRule type="expression" dxfId="43" priority="10">
      <formula>$S$22="NON VERIFICA"</formula>
    </cfRule>
  </conditionalFormatting>
  <conditionalFormatting sqref="O24:P24">
    <cfRule type="expression" dxfId="42" priority="9">
      <formula>$O$24="NON VERIFICA"</formula>
    </cfRule>
  </conditionalFormatting>
  <conditionalFormatting sqref="Q24:R24">
    <cfRule type="expression" dxfId="41" priority="8">
      <formula>$Q$24="NON VERIFICA ZONA CRITICA"</formula>
    </cfRule>
  </conditionalFormatting>
  <conditionalFormatting sqref="S24:T24">
    <cfRule type="expression" dxfId="40" priority="7">
      <formula>$S$24="NON VERIFICA"</formula>
    </cfRule>
  </conditionalFormatting>
  <conditionalFormatting sqref="O21:T22">
    <cfRule type="expression" dxfId="39" priority="4">
      <formula>$D$22="si"</formula>
    </cfRule>
    <cfRule type="expression" dxfId="38" priority="6">
      <formula>$A$21="Trave"</formula>
    </cfRule>
  </conditionalFormatting>
  <conditionalFormatting sqref="N23:AA24">
    <cfRule type="expression" dxfId="37" priority="5">
      <formula>$A$21="Trave"</formula>
    </cfRule>
  </conditionalFormatting>
  <conditionalFormatting sqref="O23:T24">
    <cfRule type="expression" dxfId="36" priority="3">
      <formula>$D$22="no"</formula>
    </cfRule>
  </conditionalFormatting>
  <conditionalFormatting sqref="U23:AA24">
    <cfRule type="expression" dxfId="35" priority="2">
      <formula>$D$22="no"</formula>
    </cfRule>
  </conditionalFormatting>
  <conditionalFormatting sqref="N23:N24">
    <cfRule type="expression" dxfId="34" priority="1">
      <formula>$D$22="no"</formula>
    </cfRule>
  </conditionalFormatting>
  <dataValidations count="7">
    <dataValidation type="list" allowBlank="1" showInputMessage="1" showErrorMessage="1" sqref="D3">
      <formula1>Classecc</formula1>
    </dataValidation>
    <dataValidation type="list" allowBlank="1" showInputMessage="1" showErrorMessage="1" sqref="M3">
      <formula1>Diametrost</formula1>
    </dataValidation>
    <dataValidation type="list" allowBlank="1" showInputMessage="1" showErrorMessage="1" sqref="N3">
      <formula1>n°braccist</formula1>
    </dataValidation>
    <dataValidation type="list" allowBlank="1" showInputMessage="1" showErrorMessage="1" sqref="H3 J3">
      <formula1>Diametro</formula1>
    </dataValidation>
    <dataValidation type="list" allowBlank="1" showInputMessage="1" showErrorMessage="1" sqref="I3 K3">
      <formula1>Numero</formula1>
    </dataValidation>
    <dataValidation type="list" allowBlank="1" showInputMessage="1" showErrorMessage="1" sqref="D22 F22">
      <formula1>B</formula1>
    </dataValidation>
    <dataValidation type="list" allowBlank="1" showInputMessage="1" showErrorMessage="1" sqref="A21:C22">
      <formula1>A</formula1>
    </dataValidation>
  </dataValidation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utoCAD.Drawing.18" shapeId="1027" r:id="rId4">
          <objectPr defaultSize="0" autoPict="0" r:id="rId5">
            <anchor moveWithCells="1">
              <from>
                <xdr:col>11</xdr:col>
                <xdr:colOff>457200</xdr:colOff>
                <xdr:row>3</xdr:row>
                <xdr:rowOff>47625</xdr:rowOff>
              </from>
              <to>
                <xdr:col>14</xdr:col>
                <xdr:colOff>495300</xdr:colOff>
                <xdr:row>12</xdr:row>
                <xdr:rowOff>95250</xdr:rowOff>
              </to>
            </anchor>
          </objectPr>
        </oleObject>
      </mc:Choice>
      <mc:Fallback>
        <oleObject progId="AutoCAD.Drawing.18" shapeId="1027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7" id="{A38EE87E-7168-479D-85E9-CF3ADFABEBAE}">
            <xm:f>$Q$3&gt;'Dati 1'!$S$3</xm:f>
            <x14:dxf>
              <fill>
                <patternFill>
                  <bgColor rgb="FFFF0000"/>
                </patternFill>
              </fill>
            </x14:dxf>
          </x14:cfRule>
          <xm:sqref>T3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workbookViewId="0">
      <selection activeCell="P23" sqref="P23"/>
    </sheetView>
  </sheetViews>
  <sheetFormatPr defaultRowHeight="15" x14ac:dyDescent="0.25"/>
  <cols>
    <col min="4" max="6" width="12" bestFit="1" customWidth="1"/>
    <col min="9" max="13" width="12" bestFit="1" customWidth="1"/>
    <col min="14" max="14" width="11.5703125" bestFit="1" customWidth="1"/>
    <col min="15" max="15" width="10.140625" bestFit="1" customWidth="1"/>
    <col min="19" max="19" width="12" bestFit="1" customWidth="1"/>
    <col min="20" max="20" width="10.7109375" bestFit="1" customWidth="1"/>
  </cols>
  <sheetData>
    <row r="1" spans="1:19" ht="30" x14ac:dyDescent="0.25">
      <c r="A1" s="72" t="s">
        <v>23</v>
      </c>
      <c r="B1" s="72" t="s">
        <v>24</v>
      </c>
      <c r="C1" s="72" t="s">
        <v>25</v>
      </c>
      <c r="D1" s="71" t="s">
        <v>78</v>
      </c>
      <c r="E1" s="71" t="s">
        <v>76</v>
      </c>
      <c r="F1" s="71" t="s">
        <v>77</v>
      </c>
      <c r="H1" t="s">
        <v>26</v>
      </c>
      <c r="M1" s="184" t="s">
        <v>31</v>
      </c>
      <c r="N1" s="184"/>
      <c r="O1" s="184"/>
      <c r="P1" s="184"/>
      <c r="Q1" t="s">
        <v>34</v>
      </c>
    </row>
    <row r="2" spans="1:19" ht="18" x14ac:dyDescent="0.4">
      <c r="A2" s="70">
        <f>'Dati 1'!$I$7*'Dati 1'!$H$3/('Verifica a Taglio'!$A$3*'Verifica a Taglio'!$L$3*'Dati 1'!$G$3)</f>
        <v>0.11019104667322624</v>
      </c>
      <c r="B2" s="70">
        <f>_xlfn.COT(ASIN(SQRT(($A$2*SIN('Dati 1'!$R$3))/('Dati 1'!$L$3*'Dati 1'!$M$3))))</f>
        <v>1.8808438909461775</v>
      </c>
      <c r="C2" s="70">
        <f>IF($B$2&lt;=2.5,IF($B$2&gt;=1,$B$2,1),2.5)</f>
        <v>1.8808438909461775</v>
      </c>
      <c r="D2" s="35">
        <f>('Verifica a Taglio'!$A$3*'Dati 1'!$O$3*'Dati 1'!$L$3*'Dati 1'!$M$3*'Dati 1'!$G$3)*((_xlfn.COT('Dati 1'!$R$3)+'Calcolo 1'!$C$2)/(1+('Calcolo 1'!$C$2^2)))</f>
        <v>44393.412023467245</v>
      </c>
      <c r="E2" s="35">
        <f>'Dati 1'!$I$7*'Dati 1'!$H$3*'Dati 1'!$O$3*SIN('Dati 1'!$R$3)*('Calcolo 1'!$C$2+_xlfn.COT('Dati 1'!$R$3))/('Verifica a Taglio'!$L$3)</f>
        <v>44393.412023467237</v>
      </c>
      <c r="F2" s="35">
        <f>IF($D$2=$E$2,$D$2,MIN($D$2:$E$2))</f>
        <v>44393.412023467245</v>
      </c>
      <c r="H2" t="s">
        <v>24</v>
      </c>
      <c r="I2" t="s">
        <v>27</v>
      </c>
      <c r="J2" t="s">
        <v>28</v>
      </c>
      <c r="K2" t="s">
        <v>29</v>
      </c>
      <c r="M2" t="s">
        <v>32</v>
      </c>
      <c r="N2" t="s">
        <v>33</v>
      </c>
      <c r="O2" t="s">
        <v>32</v>
      </c>
      <c r="P2" t="s">
        <v>33</v>
      </c>
      <c r="Q2" t="s">
        <v>32</v>
      </c>
      <c r="R2" t="s">
        <v>33</v>
      </c>
    </row>
    <row r="3" spans="1:19" ht="19.5" x14ac:dyDescent="0.4">
      <c r="B3" t="s">
        <v>75</v>
      </c>
      <c r="C3" t="s">
        <v>25</v>
      </c>
      <c r="D3" s="184" t="s">
        <v>30</v>
      </c>
      <c r="E3" s="184"/>
      <c r="F3" s="184"/>
      <c r="H3">
        <v>0</v>
      </c>
      <c r="I3">
        <f>(('Dati 1'!$M$3*'Dati 1'!$L$3)*((_xlfn.COT('Dati 1'!$R$3)+$H3)/(1+($H3^2))))</f>
        <v>3.06287113727155E-17</v>
      </c>
      <c r="J3">
        <f>(('Dati 1'!$I$7*'Dati 1'!$H$3*SIN('Dati 1'!$R$3)*('Calcolo 1'!$H3+_xlfn.COT('Dati 1'!$R$3)))/('Verifica a Taglio'!$L$3*'Verifica a Taglio'!$A$3*'Dati 1'!$G$3))</f>
        <v>6.7500195288233374E-18</v>
      </c>
      <c r="K3">
        <f>MIN($I3:$J3)</f>
        <v>6.7500195288233374E-18</v>
      </c>
      <c r="M3">
        <v>1</v>
      </c>
      <c r="N3" s="7">
        <v>0</v>
      </c>
      <c r="O3">
        <v>2.5</v>
      </c>
      <c r="P3">
        <v>0</v>
      </c>
      <c r="Q3">
        <v>0</v>
      </c>
      <c r="R3">
        <v>0</v>
      </c>
    </row>
    <row r="4" spans="1:19" x14ac:dyDescent="0.25">
      <c r="B4" s="70">
        <f>ASIN(SQRT(($A$2*SIN('Dati 1'!$R$3))/('Dati 1'!$L$3*'Dati 1'!$M$3)))</f>
        <v>0.48866631079925532</v>
      </c>
      <c r="C4" s="70">
        <f>IF($B$2&lt;=2.5,IF($B$2&gt;=1,$B$4,'Dati 1'!$P$3),'Dati 1'!$Q$3)</f>
        <v>0.48866631079925532</v>
      </c>
      <c r="D4">
        <f>('Dati 1'!$M$3*'Dati 1'!$L$3)*((_xlfn.COT('Dati 1'!$R$3)+$C$2)/(1+($C$2^2)))</f>
        <v>0.20725215697230273</v>
      </c>
      <c r="E4">
        <f>(('Dati 1'!$I$7*'Dati 1'!$H$3*SIN('Dati 1'!$R$3)*('Calcolo 1'!$C$2+_xlfn.COT('Dati 1'!$R$3)))/('Verifica a Taglio'!$L$3))/('Dati 1'!$G$3*'Verifica a Taglio'!$A$3)</f>
        <v>0.20725215697230268</v>
      </c>
      <c r="F4">
        <f>IF($D$4=$E$4,$D$4,MIN($D$4:$E$4))</f>
        <v>0.20725215697230273</v>
      </c>
      <c r="H4">
        <f t="shared" ref="H4:H32" si="0">IF($H3+0.1&lt;=3.5,$H3+0.1,3.5)</f>
        <v>0.1</v>
      </c>
      <c r="I4">
        <f>(('Dati 1'!$M$3*'Dati 1'!$L$3)*((_xlfn.COT('Dati 1'!$R$3)+$H4)/(1+($H4^2))))</f>
        <v>4.9504950495049535E-2</v>
      </c>
      <c r="J4">
        <f>(('Dati 1'!$I$7*'Dati 1'!$H$3*SIN('Dati 1'!$R$3)*('Calcolo 1'!$H4+_xlfn.COT('Dati 1'!$R$3)))/('Verifica a Taglio'!$L$3*'Verifica a Taglio'!$A$3*'Dati 1'!$G$3))</f>
        <v>1.1019104667322629E-2</v>
      </c>
      <c r="K4">
        <f t="shared" ref="K4:K39" si="1">MIN($I4:$J4)</f>
        <v>1.1019104667322629E-2</v>
      </c>
      <c r="M4">
        <v>1</v>
      </c>
      <c r="N4" s="8">
        <v>100000</v>
      </c>
      <c r="O4">
        <v>2.5</v>
      </c>
      <c r="P4">
        <v>100000</v>
      </c>
      <c r="Q4">
        <f>$C$2</f>
        <v>1.8808438909461775</v>
      </c>
      <c r="R4">
        <f>$F$4</f>
        <v>0.20725215697230273</v>
      </c>
    </row>
    <row r="5" spans="1:19" x14ac:dyDescent="0.25">
      <c r="H5">
        <f t="shared" si="0"/>
        <v>0.2</v>
      </c>
      <c r="I5">
        <f>(('Dati 1'!$M$3*'Dati 1'!$L$3)*((_xlfn.COT('Dati 1'!$R$3)+$H5)/(1+($H5^2))))</f>
        <v>9.6153846153846187E-2</v>
      </c>
      <c r="J5">
        <f>(('Dati 1'!$I$7*'Dati 1'!$H$3*SIN('Dati 1'!$R$3)*('Calcolo 1'!$H5+_xlfn.COT('Dati 1'!$R$3)))/('Verifica a Taglio'!$L$3*'Verifica a Taglio'!$A$3*'Dati 1'!$G$3))</f>
        <v>2.2038209334645252E-2</v>
      </c>
      <c r="K5">
        <f t="shared" si="1"/>
        <v>2.2038209334645252E-2</v>
      </c>
      <c r="N5" s="6"/>
      <c r="Q5" t="s">
        <v>34</v>
      </c>
    </row>
    <row r="6" spans="1:19" ht="15.75" thickBot="1" x14ac:dyDescent="0.3">
      <c r="D6" s="184" t="s">
        <v>55</v>
      </c>
      <c r="E6" s="184"/>
      <c r="F6" s="184"/>
      <c r="H6">
        <f t="shared" si="0"/>
        <v>0.30000000000000004</v>
      </c>
      <c r="I6">
        <f>(('Dati 1'!$M$3*'Dati 1'!$L$3)*((_xlfn.COT('Dati 1'!$R$3)+$H6)/(1+($H6^2))))</f>
        <v>0.1376146788990826</v>
      </c>
      <c r="J6">
        <f>(('Dati 1'!$I$7*'Dati 1'!$H$3*SIN('Dati 1'!$R$3)*('Calcolo 1'!$H6+_xlfn.COT('Dati 1'!$R$3)))/('Verifica a Taglio'!$L$3*'Verifica a Taglio'!$A$3*'Dati 1'!$G$3))</f>
        <v>3.3057314001967882E-2</v>
      </c>
      <c r="K6">
        <f t="shared" si="1"/>
        <v>3.3057314001967882E-2</v>
      </c>
      <c r="N6" s="6"/>
      <c r="Q6" t="s">
        <v>32</v>
      </c>
      <c r="R6" t="s">
        <v>33</v>
      </c>
    </row>
    <row r="7" spans="1:19" x14ac:dyDescent="0.25">
      <c r="D7" s="145">
        <f>'Dati 1'!K3/('Verifica a Taglio'!$A$3*'Dati 1'!$O$3*'Dati 1'!$G$3)</f>
        <v>1.2102707749766573E-3</v>
      </c>
      <c r="E7">
        <v>0</v>
      </c>
      <c r="H7">
        <f t="shared" si="0"/>
        <v>0.4</v>
      </c>
      <c r="I7">
        <f>(('Dati 1'!$M$3*'Dati 1'!$L$3)*((_xlfn.COT('Dati 1'!$R$3)+$H7)/(1+($H7^2))))</f>
        <v>0.17241379310344829</v>
      </c>
      <c r="J7">
        <f>(('Dati 1'!$I$7*'Dati 1'!$H$3*SIN('Dati 1'!$R$3)*('Calcolo 1'!$H7+_xlfn.COT('Dati 1'!$R$3)))/('Verifica a Taglio'!$L$3*'Verifica a Taglio'!$A$3*'Dati 1'!$G$3))</f>
        <v>4.4076418669290504E-2</v>
      </c>
      <c r="K7">
        <f t="shared" si="1"/>
        <v>4.4076418669290504E-2</v>
      </c>
      <c r="N7" s="6"/>
      <c r="Q7">
        <v>0</v>
      </c>
      <c r="R7" s="133">
        <v>0</v>
      </c>
      <c r="S7" s="134">
        <v>0</v>
      </c>
    </row>
    <row r="8" spans="1:19" ht="15.75" thickBot="1" x14ac:dyDescent="0.3">
      <c r="D8" s="143">
        <f>D7</f>
        <v>1.2102707749766573E-3</v>
      </c>
      <c r="E8">
        <v>3.5</v>
      </c>
      <c r="H8">
        <f t="shared" si="0"/>
        <v>0.5</v>
      </c>
      <c r="I8">
        <f>(('Dati 1'!$M$3*'Dati 1'!$L$3)*((_xlfn.COT('Dati 1'!$R$3)+$H8)/(1+($H8^2))))</f>
        <v>0.20000000000000004</v>
      </c>
      <c r="J8">
        <f>(('Dati 1'!$I$7*'Dati 1'!$H$3*SIN('Dati 1'!$R$3)*('Calcolo 1'!$H8+_xlfn.COT('Dati 1'!$R$3)))/('Verifica a Taglio'!$L$3*'Verifica a Taglio'!$A$3*'Dati 1'!$G$3))</f>
        <v>5.5095523336613134E-2</v>
      </c>
      <c r="K8">
        <f t="shared" si="1"/>
        <v>5.5095523336613134E-2</v>
      </c>
      <c r="N8" s="6"/>
      <c r="Q8">
        <f>B2</f>
        <v>1.8808438909461775</v>
      </c>
      <c r="R8" s="135">
        <f>('Dati 1'!$M$3*'Dati 1'!$L$3)*((_xlfn.COT('Dati 1'!$R$3)+$B$2)/(1+($B$2^2)))</f>
        <v>0.20725215697230273</v>
      </c>
      <c r="S8" s="136">
        <f>$R$8*('Dati 1'!$G$3*'Dati 1'!$O$3*'Verifica a Taglio'!$A$3)</f>
        <v>44393.412023467237</v>
      </c>
    </row>
    <row r="9" spans="1:19" x14ac:dyDescent="0.25">
      <c r="D9" s="142">
        <f>'Verifica a Taglio'!$Q$3</f>
        <v>259.24</v>
      </c>
      <c r="H9">
        <f t="shared" si="0"/>
        <v>0.6</v>
      </c>
      <c r="I9">
        <f>(('Dati 1'!$M$3*'Dati 1'!$L$3)*((_xlfn.COT('Dati 1'!$R$3)+$H9)/(1+($H9^2))))</f>
        <v>0.2205882352941177</v>
      </c>
      <c r="J9">
        <f>(('Dati 1'!$I$7*'Dati 1'!$H$3*SIN('Dati 1'!$R$3)*('Calcolo 1'!$H9+_xlfn.COT('Dati 1'!$R$3)))/('Verifica a Taglio'!$L$3*'Verifica a Taglio'!$A$3*'Dati 1'!$G$3))</f>
        <v>6.6114628003935749E-2</v>
      </c>
      <c r="K9">
        <f t="shared" si="1"/>
        <v>6.6114628003935749E-2</v>
      </c>
      <c r="N9" s="6"/>
    </row>
    <row r="10" spans="1:19" ht="15.75" thickBot="1" x14ac:dyDescent="0.3">
      <c r="D10" s="146">
        <f>'Verifica a Taglio'!$Q$3</f>
        <v>259.24</v>
      </c>
      <c r="H10">
        <f t="shared" si="0"/>
        <v>0.7</v>
      </c>
      <c r="I10">
        <f>(('Dati 1'!$M$3*'Dati 1'!$L$3)*((_xlfn.COT('Dati 1'!$R$3)+$H10)/(1+($H10^2))))</f>
        <v>0.23489932885906042</v>
      </c>
      <c r="J10">
        <f>(('Dati 1'!$I$7*'Dati 1'!$H$3*SIN('Dati 1'!$R$3)*('Calcolo 1'!$H10+_xlfn.COT('Dati 1'!$R$3)))/('Verifica a Taglio'!$L$3*'Verifica a Taglio'!$A$3*'Dati 1'!$G$3))</f>
        <v>7.7133732671258379E-2</v>
      </c>
      <c r="K10">
        <f t="shared" si="1"/>
        <v>7.7133732671258379E-2</v>
      </c>
      <c r="N10" s="185" t="s">
        <v>54</v>
      </c>
      <c r="O10" s="185"/>
      <c r="P10" s="185"/>
      <c r="Q10" s="185"/>
    </row>
    <row r="11" spans="1:19" x14ac:dyDescent="0.25">
      <c r="H11">
        <f t="shared" si="0"/>
        <v>0.79999999999999993</v>
      </c>
      <c r="I11">
        <f>(('Dati 1'!$M$3*'Dati 1'!$L$3)*((_xlfn.COT('Dati 1'!$R$3)+$H11)/(1+($H11^2))))</f>
        <v>0.24390243902439027</v>
      </c>
      <c r="J11">
        <f>(('Dati 1'!$I$7*'Dati 1'!$H$3*SIN('Dati 1'!$R$3)*('Calcolo 1'!$H11+_xlfn.COT('Dati 1'!$R$3)))/('Verifica a Taglio'!$L$3*'Verifica a Taglio'!$A$3*'Dati 1'!$G$3))</f>
        <v>8.8152837338580994E-2</v>
      </c>
      <c r="K11">
        <f t="shared" si="1"/>
        <v>8.8152837338580994E-2</v>
      </c>
      <c r="N11" s="6">
        <v>0</v>
      </c>
      <c r="O11" s="141">
        <f>F4</f>
        <v>0.20725215697230273</v>
      </c>
      <c r="P11">
        <f>C2</f>
        <v>1.8808438909461775</v>
      </c>
      <c r="Q11" s="145">
        <v>0</v>
      </c>
    </row>
    <row r="12" spans="1:19" x14ac:dyDescent="0.25">
      <c r="H12">
        <f t="shared" si="0"/>
        <v>0.89999999999999991</v>
      </c>
      <c r="I12">
        <f>(('Dati 1'!$M$3*'Dati 1'!$L$3)*((_xlfn.COT('Dati 1'!$R$3)+$H12)/(1+($H12^2))))</f>
        <v>0.24861878453038677</v>
      </c>
      <c r="J12">
        <f>(('Dati 1'!$I$7*'Dati 1'!$H$3*SIN('Dati 1'!$R$3)*('Calcolo 1'!$H12+_xlfn.COT('Dati 1'!$R$3)))/('Verifica a Taglio'!$L$3*'Verifica a Taglio'!$A$3*'Dati 1'!$G$3))</f>
        <v>9.917194200590361E-2</v>
      </c>
      <c r="K12">
        <f t="shared" si="1"/>
        <v>9.917194200590361E-2</v>
      </c>
      <c r="N12" s="6">
        <f>C2</f>
        <v>1.8808438909461775</v>
      </c>
      <c r="O12" s="142">
        <f>F4</f>
        <v>0.20725215697230273</v>
      </c>
      <c r="P12">
        <f>C2</f>
        <v>1.8808438909461775</v>
      </c>
      <c r="Q12" s="143">
        <f>F4</f>
        <v>0.20725215697230273</v>
      </c>
    </row>
    <row r="13" spans="1:19" x14ac:dyDescent="0.25">
      <c r="H13">
        <f t="shared" si="0"/>
        <v>0.99999999999999989</v>
      </c>
      <c r="I13">
        <f>(('Dati 1'!$M$3*'Dati 1'!$L$3)*((_xlfn.COT('Dati 1'!$R$3)+$H13)/(1+($H13^2))))</f>
        <v>0.25</v>
      </c>
      <c r="J13">
        <f>(('Dati 1'!$I$7*'Dati 1'!$H$3*SIN('Dati 1'!$R$3)*('Calcolo 1'!$H13+_xlfn.COT('Dati 1'!$R$3)))/('Verifica a Taglio'!$L$3*'Verifica a Taglio'!$A$3*'Dati 1'!$G$3))</f>
        <v>0.11019104667322624</v>
      </c>
      <c r="K13">
        <f t="shared" si="1"/>
        <v>0.11019104667322624</v>
      </c>
      <c r="N13" s="6"/>
      <c r="O13" s="143">
        <f>$O$11*('Verifica a Taglio'!$A$3*'Dati 1'!$G$3*'Dati 1'!$O$3)</f>
        <v>44393.412023467245</v>
      </c>
      <c r="Q13" s="143">
        <v>0</v>
      </c>
    </row>
    <row r="14" spans="1:19" ht="15.75" thickBot="1" x14ac:dyDescent="0.3">
      <c r="H14">
        <f t="shared" si="0"/>
        <v>1.0999999999999999</v>
      </c>
      <c r="I14">
        <f>(('Dati 1'!$M$3*'Dati 1'!$L$3)*((_xlfn.COT('Dati 1'!$R$3)+$H14)/(1+($H14^2))))</f>
        <v>0.24886877828054296</v>
      </c>
      <c r="J14">
        <f>(('Dati 1'!$I$7*'Dati 1'!$H$3*SIN('Dati 1'!$R$3)*('Calcolo 1'!$H14+_xlfn.COT('Dati 1'!$R$3)))/('Verifica a Taglio'!$L$3*'Verifica a Taglio'!$A$3*'Dati 1'!$G$3))</f>
        <v>0.12121015134054883</v>
      </c>
      <c r="K14">
        <f t="shared" si="1"/>
        <v>0.12121015134054883</v>
      </c>
      <c r="N14" s="6"/>
      <c r="O14" s="144">
        <f>$O$12*('Verifica a Taglio'!$A$3*'Dati 1'!$G$3*'Dati 1'!$O$3)</f>
        <v>44393.412023467245</v>
      </c>
      <c r="Q14" s="144">
        <f>$Q$12*('Verifica a Taglio'!$A$3*'Dati 1'!$G$3*'Dati 1'!$O$3)</f>
        <v>44393.412023467245</v>
      </c>
    </row>
    <row r="15" spans="1:19" x14ac:dyDescent="0.25">
      <c r="H15">
        <f t="shared" si="0"/>
        <v>1.2</v>
      </c>
      <c r="I15">
        <f>(('Dati 1'!$M$3*'Dati 1'!$L$3)*((_xlfn.COT('Dati 1'!$R$3)+$H15)/(1+($H15^2))))</f>
        <v>0.24590163934426229</v>
      </c>
      <c r="J15">
        <f>(('Dati 1'!$I$7*'Dati 1'!$H$3*SIN('Dati 1'!$R$3)*('Calcolo 1'!$H15+_xlfn.COT('Dati 1'!$R$3)))/('Verifica a Taglio'!$L$3*'Verifica a Taglio'!$A$3*'Dati 1'!$G$3))</f>
        <v>0.13222925600787147</v>
      </c>
      <c r="K15">
        <f t="shared" si="1"/>
        <v>0.13222925600787147</v>
      </c>
      <c r="M15" s="184" t="s">
        <v>106</v>
      </c>
      <c r="N15" s="184"/>
      <c r="O15" s="184"/>
      <c r="P15" s="184"/>
      <c r="Q15" s="184"/>
      <c r="R15" s="184"/>
    </row>
    <row r="16" spans="1:19" x14ac:dyDescent="0.25">
      <c r="H16">
        <f t="shared" si="0"/>
        <v>1.3</v>
      </c>
      <c r="I16">
        <f>(('Dati 1'!$M$3*'Dati 1'!$L$3)*((_xlfn.COT('Dati 1'!$R$3)+$H16)/(1+($H16^2))))</f>
        <v>0.24163568773234198</v>
      </c>
      <c r="J16">
        <f>(('Dati 1'!$I$7*'Dati 1'!$H$3*SIN('Dati 1'!$R$3)*('Calcolo 1'!$H16+_xlfn.COT('Dati 1'!$R$3)))/('Verifica a Taglio'!$L$3*'Verifica a Taglio'!$A$3*'Dati 1'!$G$3))</f>
        <v>0.14324836067519411</v>
      </c>
      <c r="K16">
        <f t="shared" si="1"/>
        <v>0.14324836067519411</v>
      </c>
    </row>
    <row r="17" spans="8:20" ht="15.75" thickBot="1" x14ac:dyDescent="0.3">
      <c r="H17">
        <f t="shared" si="0"/>
        <v>1.4000000000000001</v>
      </c>
      <c r="I17">
        <f>(('Dati 1'!$M$3*'Dati 1'!$L$3)*((_xlfn.COT('Dati 1'!$R$3)+$H17)/(1+($H17^2))))</f>
        <v>0.23648648648648649</v>
      </c>
      <c r="J17">
        <f>(('Dati 1'!$I$7*'Dati 1'!$H$3*SIN('Dati 1'!$R$3)*('Calcolo 1'!$H17+_xlfn.COT('Dati 1'!$R$3)))/('Verifica a Taglio'!$L$3*'Verifica a Taglio'!$A$3*'Dati 1'!$G$3))</f>
        <v>0.15426746534251676</v>
      </c>
      <c r="K17">
        <f t="shared" si="1"/>
        <v>0.15426746534251676</v>
      </c>
    </row>
    <row r="18" spans="8:20" ht="45.75" thickBot="1" x14ac:dyDescent="0.3">
      <c r="H18">
        <f t="shared" si="0"/>
        <v>1.5000000000000002</v>
      </c>
      <c r="I18">
        <f>(('Dati 1'!$M$3*'Dati 1'!$L$3)*((_xlfn.COT('Dati 1'!$R$3)+$H18)/(1+($H18^2))))</f>
        <v>0.23076923076923073</v>
      </c>
      <c r="J18">
        <f>(('Dati 1'!$I$7*'Dati 1'!$H$3*SIN('Dati 1'!$R$3)*('Calcolo 1'!$H18+_xlfn.COT('Dati 1'!$R$3)))/('Verifica a Taglio'!$L$3*'Verifica a Taglio'!$A$3*'Dati 1'!$G$3))</f>
        <v>0.16528657000983937</v>
      </c>
      <c r="K18">
        <f t="shared" si="1"/>
        <v>0.16528657000983937</v>
      </c>
      <c r="M18" s="71" t="s">
        <v>104</v>
      </c>
      <c r="P18" s="71" t="s">
        <v>105</v>
      </c>
      <c r="T18" s="186" t="s">
        <v>103</v>
      </c>
    </row>
    <row r="19" spans="8:20" ht="15.75" thickBot="1" x14ac:dyDescent="0.3">
      <c r="H19">
        <f t="shared" si="0"/>
        <v>1.6000000000000003</v>
      </c>
      <c r="I19">
        <f>(('Dati 1'!$M$3*'Dati 1'!$L$3)*((_xlfn.COT('Dati 1'!$R$3)+$H19)/(1+($H19^2))))</f>
        <v>0.2247191011235955</v>
      </c>
      <c r="J19">
        <f>(('Dati 1'!$I$7*'Dati 1'!$H$3*SIN('Dati 1'!$R$3)*('Calcolo 1'!$H19+_xlfn.COT('Dati 1'!$R$3)))/('Verifica a Taglio'!$L$3*'Verifica a Taglio'!$A$3*'Dati 1'!$G$3))</f>
        <v>0.17630567467716202</v>
      </c>
      <c r="K19">
        <f t="shared" si="1"/>
        <v>0.17630567467716202</v>
      </c>
      <c r="M19">
        <f>MIN('Verifica a Taglio'!A3:B3)/3</f>
        <v>10</v>
      </c>
      <c r="N19">
        <v>12.5</v>
      </c>
      <c r="O19">
        <f>6*(MIN('Verifica a Taglio'!H3,'Verifica a Taglio'!J3)/10)</f>
        <v>8.3999999999999986</v>
      </c>
      <c r="P19">
        <f>MIN('Verifica a Taglio'!A3:B3)/2</f>
        <v>15</v>
      </c>
      <c r="Q19">
        <v>17.5</v>
      </c>
      <c r="R19">
        <f>8*(MIN('Verifica a Taglio'!H3,'Verifica a Taglio'!J3)/10)</f>
        <v>11.2</v>
      </c>
      <c r="T19" s="186"/>
    </row>
    <row r="20" spans="8:20" ht="15.75" thickBot="1" x14ac:dyDescent="0.3">
      <c r="H20">
        <f t="shared" si="0"/>
        <v>1.7000000000000004</v>
      </c>
      <c r="I20">
        <f>(('Dati 1'!$M$3*'Dati 1'!$L$3)*((_xlfn.COT('Dati 1'!$R$3)+$H20)/(1+($H20^2))))</f>
        <v>0.21850899742930588</v>
      </c>
      <c r="J20">
        <f>(('Dati 1'!$I$7*'Dati 1'!$H$3*SIN('Dati 1'!$R$3)*('Calcolo 1'!$H20+_xlfn.COT('Dati 1'!$R$3)))/('Verifica a Taglio'!$L$3*'Verifica a Taglio'!$A$3*'Dati 1'!$G$3))</f>
        <v>0.18732477934448466</v>
      </c>
      <c r="K20">
        <f t="shared" si="1"/>
        <v>0.18732477934448466</v>
      </c>
      <c r="M20">
        <f>MIN(M19:O19)</f>
        <v>8.3999999999999986</v>
      </c>
      <c r="P20">
        <f>MIN(P19:R19)</f>
        <v>11.2</v>
      </c>
      <c r="T20" s="127" t="str">
        <f>IF('Verifica a Taglio'!$R$3/('Verifica a Taglio'!$A$3*'Verifica a Taglio'!$B$3*'Dati 1'!$G$3)&lt;0.55,"A",IF('Verifica a Taglio'!$R$3/('Verifica a Taglio'!$A$3*'Verifica a Taglio'!$B$3*'Dati 1'!$G$3)&lt;0.65,"B",0))</f>
        <v>A</v>
      </c>
    </row>
    <row r="21" spans="8:20" x14ac:dyDescent="0.25">
      <c r="H21">
        <f t="shared" si="0"/>
        <v>1.8000000000000005</v>
      </c>
      <c r="I21">
        <f>(('Dati 1'!$M$3*'Dati 1'!$L$3)*((_xlfn.COT('Dati 1'!$R$3)+$H21)/(1+($H21^2))))</f>
        <v>0.21226415094339618</v>
      </c>
      <c r="J21">
        <f>(('Dati 1'!$I$7*'Dati 1'!$H$3*SIN('Dati 1'!$R$3)*('Calcolo 1'!$H21+_xlfn.COT('Dati 1'!$R$3)))/('Verifica a Taglio'!$L$3*'Verifica a Taglio'!$A$3*'Dati 1'!$G$3))</f>
        <v>0.19834388401180728</v>
      </c>
      <c r="K21">
        <f t="shared" si="1"/>
        <v>0.19834388401180728</v>
      </c>
      <c r="O21" s="119">
        <f>IF($T$20="A",$M$20,$P$20)</f>
        <v>8.3999999999999986</v>
      </c>
    </row>
    <row r="22" spans="8:20" x14ac:dyDescent="0.25">
      <c r="H22">
        <f t="shared" si="0"/>
        <v>1.9000000000000006</v>
      </c>
      <c r="I22">
        <f>(('Dati 1'!$M$3*'Dati 1'!$L$3)*((_xlfn.COT('Dati 1'!$R$3)+$H22)/(1+($H22^2))))</f>
        <v>0.20607375271149672</v>
      </c>
      <c r="J22">
        <f>(('Dati 1'!$I$7*'Dati 1'!$H$3*SIN('Dati 1'!$R$3)*('Calcolo 1'!$H22+_xlfn.COT('Dati 1'!$R$3)))/('Verifica a Taglio'!$L$3*'Verifica a Taglio'!$A$3*'Dati 1'!$G$3))</f>
        <v>0.20936298867912989</v>
      </c>
      <c r="K22">
        <f t="shared" si="1"/>
        <v>0.20607375271149672</v>
      </c>
      <c r="N22" s="6"/>
    </row>
    <row r="23" spans="8:20" x14ac:dyDescent="0.25">
      <c r="H23">
        <f t="shared" si="0"/>
        <v>2.0000000000000004</v>
      </c>
      <c r="I23">
        <f>(('Dati 1'!$M$3*'Dati 1'!$L$3)*((_xlfn.COT('Dati 1'!$R$3)+$H23)/(1+($H23^2))))</f>
        <v>0.19999999999999998</v>
      </c>
      <c r="J23">
        <f>(('Dati 1'!$I$7*'Dati 1'!$H$3*SIN('Dati 1'!$R$3)*('Calcolo 1'!$H23+_xlfn.COT('Dati 1'!$R$3)))/('Verifica a Taglio'!$L$3*'Verifica a Taglio'!$A$3*'Dati 1'!$G$3))</f>
        <v>0.22038209334645253</v>
      </c>
      <c r="K23">
        <f t="shared" si="1"/>
        <v>0.19999999999999998</v>
      </c>
      <c r="M23" s="183" t="s">
        <v>110</v>
      </c>
      <c r="N23" s="183"/>
    </row>
    <row r="24" spans="8:20" x14ac:dyDescent="0.25">
      <c r="H24">
        <f t="shared" si="0"/>
        <v>2.1000000000000005</v>
      </c>
      <c r="I24">
        <f>(('Dati 1'!$M$3*'Dati 1'!$L$3)*((_xlfn.COT('Dati 1'!$R$3)+$H24)/(1+($H24^2))))</f>
        <v>0.19408502772643252</v>
      </c>
      <c r="J24">
        <f>(('Dati 1'!$I$7*'Dati 1'!$H$3*SIN('Dati 1'!$R$3)*('Calcolo 1'!$H24+_xlfn.COT('Dati 1'!$R$3)))/('Verifica a Taglio'!$L$3*'Verifica a Taglio'!$A$3*'Dati 1'!$G$3))</f>
        <v>0.23140119801377515</v>
      </c>
      <c r="K24">
        <f t="shared" si="1"/>
        <v>0.19408502772643252</v>
      </c>
      <c r="M24">
        <f>0.08*'Dati 1'!$G$3*('Verifica a Taglio'!$B$3-2*(('Verifica a Taglio'!$C$3)-((MIN('Verifica a Taglio'!H3,'Verifica a Taglio'!J3))/20)-('Verifica a Taglio'!$M$3/10)))/'Dati 1'!$H$3</f>
        <v>0.15929629629629627</v>
      </c>
      <c r="N24">
        <f>0.12*'Dati 1'!$G$3*('Verifica a Taglio'!$B$3-2*(('Verifica a Taglio'!$C$3)-((MIN('Verifica a Taglio'!H3,'Verifica a Taglio'!J3))/20)-('Verifica a Taglio'!$M$3/10)))/'Dati 1'!$H$3</f>
        <v>0.23894444444444443</v>
      </c>
    </row>
    <row r="25" spans="8:20" x14ac:dyDescent="0.25">
      <c r="H25">
        <f t="shared" si="0"/>
        <v>2.2000000000000006</v>
      </c>
      <c r="I25">
        <f>(('Dati 1'!$M$3*'Dati 1'!$L$3)*((_xlfn.COT('Dati 1'!$R$3)+$H25)/(1+($H25^2))))</f>
        <v>0.18835616438356162</v>
      </c>
      <c r="J25">
        <f>(('Dati 1'!$I$7*'Dati 1'!$H$3*SIN('Dati 1'!$R$3)*('Calcolo 1'!$H25+_xlfn.COT('Dati 1'!$R$3)))/('Verifica a Taglio'!$L$3*'Verifica a Taglio'!$A$3*'Dati 1'!$G$3))</f>
        <v>0.24242030268109777</v>
      </c>
      <c r="K25">
        <f t="shared" si="1"/>
        <v>0.18835616438356162</v>
      </c>
      <c r="N25" s="6"/>
    </row>
    <row r="26" spans="8:20" x14ac:dyDescent="0.25">
      <c r="H26">
        <f t="shared" si="0"/>
        <v>2.3000000000000007</v>
      </c>
      <c r="I26">
        <f>(('Dati 1'!$M$3*'Dati 1'!$L$3)*((_xlfn.COT('Dati 1'!$R$3)+$H26)/(1+($H26^2))))</f>
        <v>0.18282988871224159</v>
      </c>
      <c r="J26">
        <f>(('Dati 1'!$I$7*'Dati 1'!$H$3*SIN('Dati 1'!$R$3)*('Calcolo 1'!$H26+_xlfn.COT('Dati 1'!$R$3)))/('Verifica a Taglio'!$L$3*'Verifica a Taglio'!$A$3*'Dati 1'!$G$3))</f>
        <v>0.25343940734842046</v>
      </c>
      <c r="K26">
        <f t="shared" si="1"/>
        <v>0.18282988871224159</v>
      </c>
      <c r="M26" s="183" t="s">
        <v>108</v>
      </c>
      <c r="N26" s="183"/>
      <c r="O26" s="183"/>
      <c r="P26" s="183"/>
      <c r="Q26" s="183" t="s">
        <v>109</v>
      </c>
      <c r="R26" s="183"/>
      <c r="S26" s="183"/>
      <c r="T26" s="183"/>
    </row>
    <row r="27" spans="8:20" x14ac:dyDescent="0.25">
      <c r="H27">
        <f t="shared" si="0"/>
        <v>2.4000000000000008</v>
      </c>
      <c r="I27">
        <f>(('Dati 1'!$M$3*'Dati 1'!$L$3)*((_xlfn.COT('Dati 1'!$R$3)+$H27)/(1+($H27^2))))</f>
        <v>0.17751479289940822</v>
      </c>
      <c r="J27">
        <f>(('Dati 1'!$I$7*'Dati 1'!$H$3*SIN('Dati 1'!$R$3)*('Calcolo 1'!$H27+_xlfn.COT('Dati 1'!$R$3)))/('Verifica a Taglio'!$L$3*'Verifica a Taglio'!$A$3*'Dati 1'!$G$3))</f>
        <v>0.26445851201574305</v>
      </c>
      <c r="K27">
        <f t="shared" si="1"/>
        <v>0.17751479289940822</v>
      </c>
      <c r="M27">
        <f>('Verifica a Taglio'!$B$3-'Verifica a Taglio'!$C$3)/4</f>
        <v>14</v>
      </c>
      <c r="Q27">
        <f>IF($T$20="A",'Verifica a Taglio'!$A$3/3,'Verifica a Taglio'!$A$3/2)</f>
        <v>10</v>
      </c>
    </row>
    <row r="28" spans="8:20" x14ac:dyDescent="0.25">
      <c r="H28">
        <f t="shared" si="0"/>
        <v>2.5000000000000009</v>
      </c>
      <c r="I28">
        <f>(('Dati 1'!$M$3*'Dati 1'!$L$3)*((_xlfn.COT('Dati 1'!$R$3)+$H28)/(1+($H28^2))))</f>
        <v>0.17241379310344823</v>
      </c>
      <c r="J28">
        <f>(('Dati 1'!$I$7*'Dati 1'!$H$3*SIN('Dati 1'!$R$3)*('Calcolo 1'!$H28+_xlfn.COT('Dati 1'!$R$3)))/('Verifica a Taglio'!$L$3*'Verifica a Taglio'!$A$3*'Dati 1'!$G$3))</f>
        <v>0.2754776166830657</v>
      </c>
      <c r="K28">
        <f t="shared" si="1"/>
        <v>0.17241379310344823</v>
      </c>
      <c r="M28">
        <f>IF($T$20="A",17.5,22.5)</f>
        <v>17.5</v>
      </c>
      <c r="Q28">
        <f>IF($T$20="A",12.5,17.5)</f>
        <v>12.5</v>
      </c>
    </row>
    <row r="29" spans="8:20" x14ac:dyDescent="0.25">
      <c r="H29">
        <f t="shared" si="0"/>
        <v>2.600000000000001</v>
      </c>
      <c r="I29">
        <f>(('Dati 1'!$M$3*'Dati 1'!$L$3)*((_xlfn.COT('Dati 1'!$R$3)+$H29)/(1+($H29^2))))</f>
        <v>0.16752577319587625</v>
      </c>
      <c r="J29">
        <f>(('Dati 1'!$I$7*'Dati 1'!$H$3*SIN('Dati 1'!$R$3)*('Calcolo 1'!$H29+_xlfn.COT('Dati 1'!$R$3)))/('Verifica a Taglio'!$L$3*'Verifica a Taglio'!$A$3*'Dati 1'!$G$3))</f>
        <v>0.28649672135038834</v>
      </c>
      <c r="K29">
        <f t="shared" si="1"/>
        <v>0.16752577319587625</v>
      </c>
      <c r="M29">
        <f>IF($T$20="A",((6*MIN('Verifica a Taglio'!H3,'Verifica a Taglio'!J3))/10),((8*MIN('Verifica a Taglio'!H3,'Verifica a Taglio'!J3))/10))</f>
        <v>8.4</v>
      </c>
      <c r="Q29">
        <f>IF($T$20="A",6*(MIN('Verifica a Taglio'!H3,'Verifica a Taglio'!J3))/10,8*(MIN('Verifica a Taglio'!H3,'Verifica a Taglio'!J3))/10)</f>
        <v>8.4</v>
      </c>
    </row>
    <row r="30" spans="8:20" x14ac:dyDescent="0.25">
      <c r="H30">
        <f t="shared" si="0"/>
        <v>2.7000000000000011</v>
      </c>
      <c r="I30">
        <f>(('Dati 1'!$M$3*'Dati 1'!$L$3)*((_xlfn.COT('Dati 1'!$R$3)+$H30)/(1+($H30^2))))</f>
        <v>0.16284680337756327</v>
      </c>
      <c r="J30">
        <f>(('Dati 1'!$I$7*'Dati 1'!$H$3*SIN('Dati 1'!$R$3)*('Calcolo 1'!$H30+_xlfn.COT('Dati 1'!$R$3)))/('Verifica a Taglio'!$L$3*'Verifica a Taglio'!$A$3*'Dati 1'!$G$3))</f>
        <v>0.29751582601771093</v>
      </c>
      <c r="K30">
        <f t="shared" si="1"/>
        <v>0.16284680337756327</v>
      </c>
      <c r="M30">
        <f>24*'Verifica a Taglio'!$M$3/10</f>
        <v>19.2</v>
      </c>
    </row>
    <row r="31" spans="8:20" x14ac:dyDescent="0.25">
      <c r="H31">
        <f t="shared" si="0"/>
        <v>2.8000000000000012</v>
      </c>
      <c r="I31">
        <f>(('Dati 1'!$M$3*'Dati 1'!$L$3)*((_xlfn.COT('Dati 1'!$R$3)+$H31)/(1+($H31^2))))</f>
        <v>0.15837104072398184</v>
      </c>
      <c r="J31">
        <f>(('Dati 1'!$I$7*'Dati 1'!$H$3*SIN('Dati 1'!$R$3)*('Calcolo 1'!$H31+_xlfn.COT('Dati 1'!$R$3)))/('Verifica a Taglio'!$L$3*'Verifica a Taglio'!$A$3*'Dati 1'!$G$3))</f>
        <v>0.30853493068503357</v>
      </c>
      <c r="K31">
        <f t="shared" si="1"/>
        <v>0.15837104072398184</v>
      </c>
      <c r="N31" s="6"/>
    </row>
    <row r="32" spans="8:20" x14ac:dyDescent="0.25">
      <c r="H32">
        <f t="shared" si="0"/>
        <v>2.9000000000000012</v>
      </c>
      <c r="I32">
        <f>(('Dati 1'!$M$3*'Dati 1'!$L$3)*((_xlfn.COT('Dati 1'!$R$3)+$H32)/(1+($H32^2))))</f>
        <v>0.15409139213602546</v>
      </c>
      <c r="J32">
        <f>(('Dati 1'!$I$7*'Dati 1'!$H$3*SIN('Dati 1'!$R$3)*('Calcolo 1'!$H32+_xlfn.COT('Dati 1'!$R$3)))/('Verifica a Taglio'!$L$3*'Verifica a Taglio'!$A$3*'Dati 1'!$G$3))</f>
        <v>0.31955403535235621</v>
      </c>
      <c r="K32">
        <f t="shared" si="1"/>
        <v>0.15409139213602546</v>
      </c>
      <c r="N32" s="6"/>
    </row>
    <row r="33" spans="8:14" x14ac:dyDescent="0.25">
      <c r="H33">
        <f>IF($H32+0.1&lt;=3.5,$H32+0.1,3.5)</f>
        <v>3.0000000000000013</v>
      </c>
      <c r="I33">
        <f>(('Dati 1'!$M$3*'Dati 1'!$L$3)*((_xlfn.COT('Dati 1'!$R$3)+$H33)/(1+($H33^2))))</f>
        <v>0.14999999999999997</v>
      </c>
      <c r="J33">
        <f>(('Dati 1'!$I$7*'Dati 1'!$H$3*SIN('Dati 1'!$R$3)*('Calcolo 1'!$H33+_xlfn.COT('Dati 1'!$R$3)))/('Verifica a Taglio'!$L$3*'Verifica a Taglio'!$A$3*'Dati 1'!$G$3))</f>
        <v>0.33057314001967886</v>
      </c>
      <c r="K33">
        <f t="shared" si="1"/>
        <v>0.14999999999999997</v>
      </c>
      <c r="N33" s="6"/>
    </row>
    <row r="34" spans="8:14" x14ac:dyDescent="0.25">
      <c r="H34">
        <f t="shared" ref="H34:H39" si="2">IF($H33+0.1&lt;=3.5,$H33+0.1,3.5)</f>
        <v>3.1000000000000014</v>
      </c>
      <c r="I34">
        <f>(('Dati 1'!$M$3*'Dati 1'!$L$3)*((_xlfn.COT('Dati 1'!$R$3)+$H34)/(1+($H34^2))))</f>
        <v>0.14608859566446744</v>
      </c>
      <c r="J34">
        <f>(('Dati 1'!$I$7*'Dati 1'!$H$3*SIN('Dati 1'!$R$3)*('Calcolo 1'!$H34+_xlfn.COT('Dati 1'!$R$3)))/('Verifica a Taglio'!$L$3*'Verifica a Taglio'!$A$3*'Dati 1'!$G$3))</f>
        <v>0.3415922446870015</v>
      </c>
      <c r="K34">
        <f t="shared" si="1"/>
        <v>0.14608859566446744</v>
      </c>
    </row>
    <row r="35" spans="8:14" x14ac:dyDescent="0.25">
      <c r="H35">
        <f t="shared" si="2"/>
        <v>3.2000000000000015</v>
      </c>
      <c r="I35">
        <f>(('Dati 1'!$M$3*'Dati 1'!$L$3)*((_xlfn.COT('Dati 1'!$R$3)+$H35)/(1+($H35^2))))</f>
        <v>0.14234875444839853</v>
      </c>
      <c r="J35">
        <f>(('Dati 1'!$I$7*'Dati 1'!$H$3*SIN('Dati 1'!$R$3)*('Calcolo 1'!$H35+_xlfn.COT('Dati 1'!$R$3)))/('Verifica a Taglio'!$L$3*'Verifica a Taglio'!$A$3*'Dati 1'!$G$3))</f>
        <v>0.35261134935432409</v>
      </c>
      <c r="K35">
        <f t="shared" si="1"/>
        <v>0.14234875444839853</v>
      </c>
    </row>
    <row r="36" spans="8:14" x14ac:dyDescent="0.25">
      <c r="H36">
        <f t="shared" si="2"/>
        <v>3.3000000000000016</v>
      </c>
      <c r="I36">
        <f>(('Dati 1'!$M$3*'Dati 1'!$L$3)*((_xlfn.COT('Dati 1'!$R$3)+$H36)/(1+($H36^2))))</f>
        <v>0.1387720773759461</v>
      </c>
      <c r="J36">
        <f>(('Dati 1'!$I$7*'Dati 1'!$H$3*SIN('Dati 1'!$R$3)*('Calcolo 1'!$H36+_xlfn.COT('Dati 1'!$R$3)))/('Verifica a Taglio'!$L$3*'Verifica a Taglio'!$A$3*'Dati 1'!$G$3))</f>
        <v>0.36363045402164673</v>
      </c>
      <c r="K36">
        <f t="shared" si="1"/>
        <v>0.1387720773759461</v>
      </c>
    </row>
    <row r="37" spans="8:14" x14ac:dyDescent="0.25">
      <c r="H37">
        <f t="shared" si="2"/>
        <v>3.4000000000000017</v>
      </c>
      <c r="I37">
        <f>(('Dati 1'!$M$3*'Dati 1'!$L$3)*((_xlfn.COT('Dati 1'!$R$3)+$H37)/(1+($H37^2))))</f>
        <v>0.13535031847133752</v>
      </c>
      <c r="J37">
        <f>(('Dati 1'!$I$7*'Dati 1'!$H$3*SIN('Dati 1'!$R$3)*('Calcolo 1'!$H37+_xlfn.COT('Dati 1'!$R$3)))/('Verifica a Taglio'!$L$3*'Verifica a Taglio'!$A$3*'Dati 1'!$G$3))</f>
        <v>0.37464955868896943</v>
      </c>
      <c r="K37">
        <f t="shared" si="1"/>
        <v>0.13535031847133752</v>
      </c>
    </row>
    <row r="38" spans="8:14" x14ac:dyDescent="0.25">
      <c r="H38">
        <f t="shared" si="2"/>
        <v>3.5000000000000018</v>
      </c>
      <c r="I38">
        <f>(('Dati 1'!$M$3*'Dati 1'!$L$3)*((_xlfn.COT('Dati 1'!$R$3)+$H38)/(1+($H38^2))))</f>
        <v>0.13207547169811315</v>
      </c>
      <c r="J38">
        <f>(('Dati 1'!$I$7*'Dati 1'!$H$3*SIN('Dati 1'!$R$3)*('Calcolo 1'!$H38+_xlfn.COT('Dati 1'!$R$3)))/('Verifica a Taglio'!$L$3*'Verifica a Taglio'!$A$3*'Dati 1'!$G$3))</f>
        <v>0.38566866335629202</v>
      </c>
      <c r="K38">
        <f t="shared" si="1"/>
        <v>0.13207547169811315</v>
      </c>
    </row>
    <row r="39" spans="8:14" x14ac:dyDescent="0.25">
      <c r="H39">
        <f t="shared" si="2"/>
        <v>3.5</v>
      </c>
      <c r="I39">
        <f>(('Dati 1'!$M$3*'Dati 1'!$L$3)*((_xlfn.COT('Dati 1'!$R$3)+$H39)/(1+($H39^2))))</f>
        <v>0.13207547169811321</v>
      </c>
      <c r="J39">
        <f>(('Dati 1'!$I$7*'Dati 1'!$H$3*SIN('Dati 1'!$R$3)*('Calcolo 1'!$H39+_xlfn.COT('Dati 1'!$R$3)))/('Verifica a Taglio'!$L$3*'Verifica a Taglio'!$A$3*'Dati 1'!$G$3))</f>
        <v>0.38566866335629185</v>
      </c>
      <c r="K39">
        <f t="shared" si="1"/>
        <v>0.13207547169811321</v>
      </c>
    </row>
    <row r="41" spans="8:14" x14ac:dyDescent="0.25">
      <c r="H41">
        <f>$H3</f>
        <v>0</v>
      </c>
      <c r="I41">
        <f>$I3*('Verifica a Taglio'!$A$3*'Dati 1'!$G$3*'Dati 1'!$O$3)</f>
        <v>6.5606699760356602E-12</v>
      </c>
    </row>
    <row r="42" spans="8:14" x14ac:dyDescent="0.25">
      <c r="H42">
        <f t="shared" ref="H42:H105" si="3">$H4</f>
        <v>0.1</v>
      </c>
      <c r="I42">
        <f>$I4*('Verifica a Taglio'!$A$3*'Dati 1'!$G$3*'Dati 1'!$O$3)</f>
        <v>10603.960396039611</v>
      </c>
    </row>
    <row r="43" spans="8:14" x14ac:dyDescent="0.25">
      <c r="H43">
        <f t="shared" si="3"/>
        <v>0.2</v>
      </c>
      <c r="I43">
        <f>$I5*('Verifica a Taglio'!$A$3*'Dati 1'!$G$3*'Dati 1'!$O$3)</f>
        <v>20596.153846153855</v>
      </c>
    </row>
    <row r="44" spans="8:14" x14ac:dyDescent="0.25">
      <c r="H44">
        <f t="shared" si="3"/>
        <v>0.30000000000000004</v>
      </c>
      <c r="I44">
        <f>$I6*('Verifica a Taglio'!$A$3*'Dati 1'!$G$3*'Dati 1'!$O$3)</f>
        <v>29477.064220183493</v>
      </c>
    </row>
    <row r="45" spans="8:14" x14ac:dyDescent="0.25">
      <c r="H45">
        <f t="shared" si="3"/>
        <v>0.4</v>
      </c>
      <c r="I45">
        <f>$I7*('Verifica a Taglio'!$A$3*'Dati 1'!$G$3*'Dati 1'!$O$3)</f>
        <v>36931.034482758623</v>
      </c>
    </row>
    <row r="46" spans="8:14" x14ac:dyDescent="0.25">
      <c r="H46">
        <f t="shared" si="3"/>
        <v>0.5</v>
      </c>
      <c r="I46">
        <f>$I8*('Verifica a Taglio'!$A$3*'Dati 1'!$G$3*'Dati 1'!$O$3)</f>
        <v>42840.000000000007</v>
      </c>
    </row>
    <row r="47" spans="8:14" x14ac:dyDescent="0.25">
      <c r="H47">
        <f t="shared" si="3"/>
        <v>0.6</v>
      </c>
      <c r="I47">
        <f>$I9*('Verifica a Taglio'!$A$3*'Dati 1'!$G$3*'Dati 1'!$O$3)</f>
        <v>47250.000000000007</v>
      </c>
    </row>
    <row r="48" spans="8:14" x14ac:dyDescent="0.25">
      <c r="H48">
        <f t="shared" si="3"/>
        <v>0.7</v>
      </c>
      <c r="I48">
        <f>$I10*('Verifica a Taglio'!$A$3*'Dati 1'!$G$3*'Dati 1'!$O$3)</f>
        <v>50315.43624161074</v>
      </c>
    </row>
    <row r="49" spans="8:9" x14ac:dyDescent="0.25">
      <c r="H49">
        <f t="shared" si="3"/>
        <v>0.79999999999999993</v>
      </c>
      <c r="I49">
        <f>$I11*('Verifica a Taglio'!$A$3*'Dati 1'!$G$3*'Dati 1'!$O$3)</f>
        <v>52243.902439024394</v>
      </c>
    </row>
    <row r="50" spans="8:9" x14ac:dyDescent="0.25">
      <c r="H50">
        <f t="shared" si="3"/>
        <v>0.89999999999999991</v>
      </c>
      <c r="I50">
        <f>$I12*('Verifica a Taglio'!$A$3*'Dati 1'!$G$3*'Dati 1'!$O$3)</f>
        <v>53254.143646408847</v>
      </c>
    </row>
    <row r="51" spans="8:9" x14ac:dyDescent="0.25">
      <c r="H51">
        <f t="shared" si="3"/>
        <v>0.99999999999999989</v>
      </c>
      <c r="I51">
        <f>$I13*('Verifica a Taglio'!$A$3*'Dati 1'!$G$3*'Dati 1'!$O$3)</f>
        <v>53550</v>
      </c>
    </row>
    <row r="52" spans="8:9" x14ac:dyDescent="0.25">
      <c r="H52">
        <f t="shared" si="3"/>
        <v>1.0999999999999999</v>
      </c>
      <c r="I52">
        <f>$I14*('Verifica a Taglio'!$A$3*'Dati 1'!$G$3*'Dati 1'!$O$3)</f>
        <v>53307.692307692305</v>
      </c>
    </row>
    <row r="53" spans="8:9" x14ac:dyDescent="0.25">
      <c r="H53">
        <f t="shared" si="3"/>
        <v>1.2</v>
      </c>
      <c r="I53">
        <f>$I15*('Verifica a Taglio'!$A$3*'Dati 1'!$G$3*'Dati 1'!$O$3)</f>
        <v>52672.131147540982</v>
      </c>
    </row>
    <row r="54" spans="8:9" x14ac:dyDescent="0.25">
      <c r="H54">
        <f t="shared" si="3"/>
        <v>1.3</v>
      </c>
      <c r="I54">
        <f>$I16*('Verifica a Taglio'!$A$3*'Dati 1'!$G$3*'Dati 1'!$O$3)</f>
        <v>51758.364312267651</v>
      </c>
    </row>
    <row r="55" spans="8:9" x14ac:dyDescent="0.25">
      <c r="H55">
        <f t="shared" si="3"/>
        <v>1.4000000000000001</v>
      </c>
      <c r="I55">
        <f>$I17*('Verifica a Taglio'!$A$3*'Dati 1'!$G$3*'Dati 1'!$O$3)</f>
        <v>50655.405405405407</v>
      </c>
    </row>
    <row r="56" spans="8:9" x14ac:dyDescent="0.25">
      <c r="H56">
        <f t="shared" si="3"/>
        <v>1.5000000000000002</v>
      </c>
      <c r="I56">
        <f>$I18*('Verifica a Taglio'!$A$3*'Dati 1'!$G$3*'Dati 1'!$O$3)</f>
        <v>49430.76923076922</v>
      </c>
    </row>
    <row r="57" spans="8:9" x14ac:dyDescent="0.25">
      <c r="H57">
        <f t="shared" si="3"/>
        <v>1.6000000000000003</v>
      </c>
      <c r="I57">
        <f>$I19*('Verifica a Taglio'!$A$3*'Dati 1'!$G$3*'Dati 1'!$O$3)</f>
        <v>48134.831460674155</v>
      </c>
    </row>
    <row r="58" spans="8:9" x14ac:dyDescent="0.25">
      <c r="H58">
        <f t="shared" si="3"/>
        <v>1.7000000000000004</v>
      </c>
      <c r="I58">
        <f>$I20*('Verifica a Taglio'!$A$3*'Dati 1'!$G$3*'Dati 1'!$O$3)</f>
        <v>46804.62724935732</v>
      </c>
    </row>
    <row r="59" spans="8:9" x14ac:dyDescent="0.25">
      <c r="H59">
        <f t="shared" si="3"/>
        <v>1.8000000000000005</v>
      </c>
      <c r="I59">
        <f>$I21*('Verifica a Taglio'!$A$3*'Dati 1'!$G$3*'Dati 1'!$O$3)</f>
        <v>45466.98113207546</v>
      </c>
    </row>
    <row r="60" spans="8:9" x14ac:dyDescent="0.25">
      <c r="H60">
        <f t="shared" si="3"/>
        <v>1.9000000000000006</v>
      </c>
      <c r="I60">
        <f>$I22*('Verifica a Taglio'!$A$3*'Dati 1'!$G$3*'Dati 1'!$O$3)</f>
        <v>44140.997830802597</v>
      </c>
    </row>
    <row r="61" spans="8:9" x14ac:dyDescent="0.25">
      <c r="H61">
        <f t="shared" si="3"/>
        <v>2.0000000000000004</v>
      </c>
      <c r="I61">
        <f>$I23*('Verifica a Taglio'!$A$3*'Dati 1'!$G$3*'Dati 1'!$O$3)</f>
        <v>42840</v>
      </c>
    </row>
    <row r="62" spans="8:9" x14ac:dyDescent="0.25">
      <c r="H62">
        <f t="shared" si="3"/>
        <v>2.1000000000000005</v>
      </c>
      <c r="I62">
        <f>$I24*('Verifica a Taglio'!$A$3*'Dati 1'!$G$3*'Dati 1'!$O$3)</f>
        <v>41573.012939001848</v>
      </c>
    </row>
    <row r="63" spans="8:9" x14ac:dyDescent="0.25">
      <c r="H63">
        <f t="shared" si="3"/>
        <v>2.2000000000000006</v>
      </c>
      <c r="I63">
        <f>$I25*('Verifica a Taglio'!$A$3*'Dati 1'!$G$3*'Dati 1'!$O$3)</f>
        <v>40345.890410958898</v>
      </c>
    </row>
    <row r="64" spans="8:9" x14ac:dyDescent="0.25">
      <c r="H64">
        <f t="shared" si="3"/>
        <v>2.3000000000000007</v>
      </c>
      <c r="I64">
        <f>$I26*('Verifica a Taglio'!$A$3*'Dati 1'!$G$3*'Dati 1'!$O$3)</f>
        <v>39162.162162162153</v>
      </c>
    </row>
    <row r="65" spans="8:9" x14ac:dyDescent="0.25">
      <c r="H65">
        <f t="shared" si="3"/>
        <v>2.4000000000000008</v>
      </c>
      <c r="I65">
        <f>$I27*('Verifica a Taglio'!$A$3*'Dati 1'!$G$3*'Dati 1'!$O$3)</f>
        <v>38023.668639053241</v>
      </c>
    </row>
    <row r="66" spans="8:9" x14ac:dyDescent="0.25">
      <c r="H66">
        <f t="shared" si="3"/>
        <v>2.5000000000000009</v>
      </c>
      <c r="I66">
        <f>$I28*('Verifica a Taglio'!$A$3*'Dati 1'!$G$3*'Dati 1'!$O$3)</f>
        <v>36931.034482758609</v>
      </c>
    </row>
    <row r="67" spans="8:9" x14ac:dyDescent="0.25">
      <c r="H67">
        <f t="shared" si="3"/>
        <v>2.600000000000001</v>
      </c>
      <c r="I67">
        <f>$I29*('Verifica a Taglio'!$A$3*'Dati 1'!$G$3*'Dati 1'!$O$3)</f>
        <v>35884.020618556693</v>
      </c>
    </row>
    <row r="68" spans="8:9" x14ac:dyDescent="0.25">
      <c r="H68">
        <f t="shared" si="3"/>
        <v>2.7000000000000011</v>
      </c>
      <c r="I68">
        <f>$I30*('Verifica a Taglio'!$A$3*'Dati 1'!$G$3*'Dati 1'!$O$3)</f>
        <v>34881.785283474055</v>
      </c>
    </row>
    <row r="69" spans="8:9" x14ac:dyDescent="0.25">
      <c r="H69">
        <f t="shared" si="3"/>
        <v>2.8000000000000012</v>
      </c>
      <c r="I69">
        <f>$I31*('Verifica a Taglio'!$A$3*'Dati 1'!$G$3*'Dati 1'!$O$3)</f>
        <v>33923.076923076907</v>
      </c>
    </row>
    <row r="70" spans="8:9" x14ac:dyDescent="0.25">
      <c r="H70">
        <f t="shared" si="3"/>
        <v>2.9000000000000012</v>
      </c>
      <c r="I70">
        <f>$I32*('Verifica a Taglio'!$A$3*'Dati 1'!$G$3*'Dati 1'!$O$3)</f>
        <v>33006.376195536657</v>
      </c>
    </row>
    <row r="71" spans="8:9" x14ac:dyDescent="0.25">
      <c r="H71">
        <f t="shared" si="3"/>
        <v>3.0000000000000013</v>
      </c>
      <c r="I71">
        <f>$I33*('Verifica a Taglio'!$A$3*'Dati 1'!$G$3*'Dati 1'!$O$3)</f>
        <v>32129.999999999993</v>
      </c>
    </row>
    <row r="72" spans="8:9" x14ac:dyDescent="0.25">
      <c r="H72">
        <f t="shared" si="3"/>
        <v>3.1000000000000014</v>
      </c>
      <c r="I72">
        <f>$I34*('Verifica a Taglio'!$A$3*'Dati 1'!$G$3*'Dati 1'!$O$3)</f>
        <v>31292.177191328927</v>
      </c>
    </row>
    <row r="73" spans="8:9" x14ac:dyDescent="0.25">
      <c r="H73">
        <f t="shared" si="3"/>
        <v>3.2000000000000015</v>
      </c>
      <c r="I73">
        <f>$I35*('Verifica a Taglio'!$A$3*'Dati 1'!$G$3*'Dati 1'!$O$3)</f>
        <v>30491.103202846967</v>
      </c>
    </row>
    <row r="74" spans="8:9" x14ac:dyDescent="0.25">
      <c r="H74">
        <f t="shared" si="3"/>
        <v>3.3000000000000016</v>
      </c>
      <c r="I74">
        <f>$I36*('Verifica a Taglio'!$A$3*'Dati 1'!$G$3*'Dati 1'!$O$3)</f>
        <v>29724.978973927657</v>
      </c>
    </row>
    <row r="75" spans="8:9" x14ac:dyDescent="0.25">
      <c r="H75">
        <f t="shared" si="3"/>
        <v>3.4000000000000017</v>
      </c>
      <c r="I75">
        <f>$I37*('Verifica a Taglio'!$A$3*'Dati 1'!$G$3*'Dati 1'!$O$3)</f>
        <v>28992.038216560497</v>
      </c>
    </row>
    <row r="76" spans="8:9" x14ac:dyDescent="0.25">
      <c r="H76">
        <f t="shared" si="3"/>
        <v>3.5000000000000018</v>
      </c>
      <c r="I76">
        <f>$I38*('Verifica a Taglio'!$A$3*'Dati 1'!$G$3*'Dati 1'!$O$3)</f>
        <v>28290.566037735836</v>
      </c>
    </row>
    <row r="77" spans="8:9" x14ac:dyDescent="0.25">
      <c r="H77">
        <f t="shared" si="3"/>
        <v>3.5</v>
      </c>
      <c r="I77">
        <f>$I39*('Verifica a Taglio'!$A$3*'Dati 1'!$G$3*'Dati 1'!$O$3)</f>
        <v>28290.566037735847</v>
      </c>
    </row>
    <row r="78" spans="8:9" x14ac:dyDescent="0.25">
      <c r="H78">
        <f t="shared" si="3"/>
        <v>0</v>
      </c>
      <c r="I78">
        <f>$I40*('Verifica a Taglio'!$A$3*'Dati 1'!$G$3*'Dati 1'!$O$3)</f>
        <v>0</v>
      </c>
    </row>
    <row r="79" spans="8:9" x14ac:dyDescent="0.25">
      <c r="H79">
        <f t="shared" si="3"/>
        <v>0</v>
      </c>
      <c r="I79">
        <f>$I41*('Verifica a Taglio'!$A$3*'Dati 1'!$G$3*'Dati 1'!$O$3)</f>
        <v>1.4052955088668384E-6</v>
      </c>
    </row>
    <row r="80" spans="8:9" x14ac:dyDescent="0.25">
      <c r="H80">
        <f t="shared" si="3"/>
        <v>0.1</v>
      </c>
      <c r="I80">
        <f>$I42*('Verifica a Taglio'!$A$3*'Dati 1'!$G$3*'Dati 1'!$O$3)</f>
        <v>2271368316.8316846</v>
      </c>
    </row>
    <row r="81" spans="8:9" x14ac:dyDescent="0.25">
      <c r="H81">
        <f t="shared" si="3"/>
        <v>0.2</v>
      </c>
      <c r="I81">
        <f>$I43*('Verifica a Taglio'!$A$3*'Dati 1'!$G$3*'Dati 1'!$O$3)</f>
        <v>4411696153.8461561</v>
      </c>
    </row>
    <row r="82" spans="8:9" x14ac:dyDescent="0.25">
      <c r="H82">
        <f t="shared" si="3"/>
        <v>0.30000000000000004</v>
      </c>
      <c r="I82">
        <f>$I44*('Verifica a Taglio'!$A$3*'Dati 1'!$G$3*'Dati 1'!$O$3)</f>
        <v>6313987155.9633045</v>
      </c>
    </row>
    <row r="83" spans="8:9" x14ac:dyDescent="0.25">
      <c r="H83">
        <f t="shared" si="3"/>
        <v>0.4</v>
      </c>
      <c r="I83">
        <f>$I45*('Verifica a Taglio'!$A$3*'Dati 1'!$G$3*'Dati 1'!$O$3)</f>
        <v>7910627586.2068968</v>
      </c>
    </row>
    <row r="84" spans="8:9" x14ac:dyDescent="0.25">
      <c r="H84">
        <f t="shared" si="3"/>
        <v>0.5</v>
      </c>
      <c r="I84">
        <f>$I46*('Verifica a Taglio'!$A$3*'Dati 1'!$G$3*'Dati 1'!$O$3)</f>
        <v>9176328000.0000019</v>
      </c>
    </row>
    <row r="85" spans="8:9" x14ac:dyDescent="0.25">
      <c r="H85">
        <f t="shared" si="3"/>
        <v>0.6</v>
      </c>
      <c r="I85">
        <f>$I47*('Verifica a Taglio'!$A$3*'Dati 1'!$G$3*'Dati 1'!$O$3)</f>
        <v>10120950000.000002</v>
      </c>
    </row>
    <row r="86" spans="8:9" x14ac:dyDescent="0.25">
      <c r="H86">
        <f t="shared" si="3"/>
        <v>0.7</v>
      </c>
      <c r="I86">
        <f>$I48*('Verifica a Taglio'!$A$3*'Dati 1'!$G$3*'Dati 1'!$O$3)</f>
        <v>10777566442.95302</v>
      </c>
    </row>
    <row r="87" spans="8:9" x14ac:dyDescent="0.25">
      <c r="H87">
        <f t="shared" si="3"/>
        <v>0.79999999999999993</v>
      </c>
      <c r="I87">
        <f>$I49*('Verifica a Taglio'!$A$3*'Dati 1'!$G$3*'Dati 1'!$O$3)</f>
        <v>11190643902.439026</v>
      </c>
    </row>
    <row r="88" spans="8:9" x14ac:dyDescent="0.25">
      <c r="H88">
        <f t="shared" si="3"/>
        <v>0.89999999999999991</v>
      </c>
      <c r="I88">
        <f>$I50*('Verifica a Taglio'!$A$3*'Dati 1'!$G$3*'Dati 1'!$O$3)</f>
        <v>11407037569.060776</v>
      </c>
    </row>
    <row r="89" spans="8:9" x14ac:dyDescent="0.25">
      <c r="H89">
        <f t="shared" si="3"/>
        <v>0.99999999999999989</v>
      </c>
      <c r="I89">
        <f>$I51*('Verifica a Taglio'!$A$3*'Dati 1'!$G$3*'Dati 1'!$O$3)</f>
        <v>11470410000</v>
      </c>
    </row>
    <row r="90" spans="8:9" x14ac:dyDescent="0.25">
      <c r="H90">
        <f t="shared" si="3"/>
        <v>1.0999999999999999</v>
      </c>
      <c r="I90">
        <f>$I52*('Verifica a Taglio'!$A$3*'Dati 1'!$G$3*'Dati 1'!$O$3)</f>
        <v>11418507692.307692</v>
      </c>
    </row>
    <row r="91" spans="8:9" x14ac:dyDescent="0.25">
      <c r="H91">
        <f t="shared" si="3"/>
        <v>1.2</v>
      </c>
      <c r="I91">
        <f>$I53*('Verifica a Taglio'!$A$3*'Dati 1'!$G$3*'Dati 1'!$O$3)</f>
        <v>11282370491.803278</v>
      </c>
    </row>
    <row r="92" spans="8:9" x14ac:dyDescent="0.25">
      <c r="H92">
        <f t="shared" si="3"/>
        <v>1.3</v>
      </c>
      <c r="I92">
        <f>$I54*('Verifica a Taglio'!$A$3*'Dati 1'!$G$3*'Dati 1'!$O$3)</f>
        <v>11086641635.687731</v>
      </c>
    </row>
    <row r="93" spans="8:9" x14ac:dyDescent="0.25">
      <c r="H93">
        <f t="shared" si="3"/>
        <v>1.4000000000000001</v>
      </c>
      <c r="I93">
        <f>$I55*('Verifica a Taglio'!$A$3*'Dati 1'!$G$3*'Dati 1'!$O$3)</f>
        <v>10850387837.837837</v>
      </c>
    </row>
    <row r="94" spans="8:9" x14ac:dyDescent="0.25">
      <c r="H94">
        <f t="shared" si="3"/>
        <v>1.5000000000000002</v>
      </c>
      <c r="I94">
        <f>$I56*('Verifica a Taglio'!$A$3*'Dati 1'!$G$3*'Dati 1'!$O$3)</f>
        <v>10588070769.230766</v>
      </c>
    </row>
    <row r="95" spans="8:9" x14ac:dyDescent="0.25">
      <c r="H95">
        <f t="shared" si="3"/>
        <v>1.6000000000000003</v>
      </c>
      <c r="I95">
        <f>$I57*('Verifica a Taglio'!$A$3*'Dati 1'!$G$3*'Dati 1'!$O$3)</f>
        <v>10310480898.876404</v>
      </c>
    </row>
    <row r="96" spans="8:9" x14ac:dyDescent="0.25">
      <c r="H96">
        <f t="shared" si="3"/>
        <v>1.7000000000000004</v>
      </c>
      <c r="I96">
        <f>$I58*('Verifica a Taglio'!$A$3*'Dati 1'!$G$3*'Dati 1'!$O$3)</f>
        <v>10025551156.812338</v>
      </c>
    </row>
    <row r="97" spans="8:9" x14ac:dyDescent="0.25">
      <c r="H97">
        <f t="shared" si="3"/>
        <v>1.8000000000000005</v>
      </c>
      <c r="I97">
        <f>$I59*('Verifica a Taglio'!$A$3*'Dati 1'!$G$3*'Dati 1'!$O$3)</f>
        <v>9739027358.4905643</v>
      </c>
    </row>
    <row r="98" spans="8:9" x14ac:dyDescent="0.25">
      <c r="H98">
        <f t="shared" si="3"/>
        <v>1.9000000000000006</v>
      </c>
      <c r="I98">
        <f>$I60*('Verifica a Taglio'!$A$3*'Dati 1'!$G$3*'Dati 1'!$O$3)</f>
        <v>9455001735.3579159</v>
      </c>
    </row>
    <row r="99" spans="8:9" x14ac:dyDescent="0.25">
      <c r="H99">
        <f t="shared" si="3"/>
        <v>2.0000000000000004</v>
      </c>
      <c r="I99">
        <f>$I61*('Verifica a Taglio'!$A$3*'Dati 1'!$G$3*'Dati 1'!$O$3)</f>
        <v>9176328000</v>
      </c>
    </row>
    <row r="100" spans="8:9" x14ac:dyDescent="0.25">
      <c r="H100">
        <f t="shared" si="3"/>
        <v>2.1000000000000005</v>
      </c>
      <c r="I100">
        <f>$I62*('Verifica a Taglio'!$A$3*'Dati 1'!$G$3*'Dati 1'!$O$3)</f>
        <v>8904939371.5341969</v>
      </c>
    </row>
    <row r="101" spans="8:9" x14ac:dyDescent="0.25">
      <c r="H101">
        <f t="shared" si="3"/>
        <v>2.2000000000000006</v>
      </c>
      <c r="I101">
        <f>$I63*('Verifica a Taglio'!$A$3*'Dati 1'!$G$3*'Dati 1'!$O$3)</f>
        <v>8642089726.0273952</v>
      </c>
    </row>
    <row r="102" spans="8:9" x14ac:dyDescent="0.25">
      <c r="H102">
        <f t="shared" si="3"/>
        <v>2.3000000000000007</v>
      </c>
      <c r="I102">
        <f>$I64*('Verifica a Taglio'!$A$3*'Dati 1'!$G$3*'Dati 1'!$O$3)</f>
        <v>8388535135.1351328</v>
      </c>
    </row>
    <row r="103" spans="8:9" x14ac:dyDescent="0.25">
      <c r="H103">
        <f t="shared" si="3"/>
        <v>2.4000000000000008</v>
      </c>
      <c r="I103">
        <f>$I65*('Verifica a Taglio'!$A$3*'Dati 1'!$G$3*'Dati 1'!$O$3)</f>
        <v>8144669822.4852047</v>
      </c>
    </row>
    <row r="104" spans="8:9" x14ac:dyDescent="0.25">
      <c r="H104">
        <f t="shared" si="3"/>
        <v>2.5000000000000009</v>
      </c>
      <c r="I104">
        <f>$I66*('Verifica a Taglio'!$A$3*'Dati 1'!$G$3*'Dati 1'!$O$3)</f>
        <v>7910627586.2068939</v>
      </c>
    </row>
    <row r="105" spans="8:9" x14ac:dyDescent="0.25">
      <c r="H105">
        <f t="shared" si="3"/>
        <v>2.600000000000001</v>
      </c>
      <c r="I105">
        <f>$I67*('Verifica a Taglio'!$A$3*'Dati 1'!$G$3*'Dati 1'!$O$3)</f>
        <v>7686357216.4948435</v>
      </c>
    </row>
    <row r="106" spans="8:9" x14ac:dyDescent="0.25">
      <c r="H106">
        <f t="shared" ref="H106:H115" si="4">$H68</f>
        <v>2.7000000000000011</v>
      </c>
      <c r="I106">
        <f>$I68*('Verifica a Taglio'!$A$3*'Dati 1'!$G$3*'Dati 1'!$O$3)</f>
        <v>7471678407.7201424</v>
      </c>
    </row>
    <row r="107" spans="8:9" x14ac:dyDescent="0.25">
      <c r="H107">
        <f t="shared" si="4"/>
        <v>2.8000000000000012</v>
      </c>
      <c r="I107">
        <f>$I69*('Verifica a Taglio'!$A$3*'Dati 1'!$G$3*'Dati 1'!$O$3)</f>
        <v>7266323076.9230738</v>
      </c>
    </row>
    <row r="108" spans="8:9" x14ac:dyDescent="0.25">
      <c r="H108">
        <f t="shared" si="4"/>
        <v>2.9000000000000012</v>
      </c>
      <c r="I108">
        <f>$I70*('Verifica a Taglio'!$A$3*'Dati 1'!$G$3*'Dati 1'!$O$3)</f>
        <v>7069965781.083952</v>
      </c>
    </row>
    <row r="109" spans="8:9" x14ac:dyDescent="0.25">
      <c r="H109">
        <f t="shared" si="4"/>
        <v>3.0000000000000013</v>
      </c>
      <c r="I109">
        <f>$I71*('Verifica a Taglio'!$A$3*'Dati 1'!$G$3*'Dati 1'!$O$3)</f>
        <v>6882245999.9999981</v>
      </c>
    </row>
    <row r="110" spans="8:9" x14ac:dyDescent="0.25">
      <c r="H110">
        <f t="shared" si="4"/>
        <v>3.1000000000000014</v>
      </c>
      <c r="I110">
        <f>$I72*('Verifica a Taglio'!$A$3*'Dati 1'!$G$3*'Dati 1'!$O$3)</f>
        <v>6702784354.3826561</v>
      </c>
    </row>
    <row r="111" spans="8:9" x14ac:dyDescent="0.25">
      <c r="H111">
        <f t="shared" si="4"/>
        <v>3.2000000000000015</v>
      </c>
      <c r="I111">
        <f>$I73*('Verifica a Taglio'!$A$3*'Dati 1'!$G$3*'Dati 1'!$O$3)</f>
        <v>6531194306.0498199</v>
      </c>
    </row>
    <row r="112" spans="8:9" x14ac:dyDescent="0.25">
      <c r="H112">
        <f t="shared" si="4"/>
        <v>3.3000000000000016</v>
      </c>
      <c r="I112">
        <f>$I74*('Verifica a Taglio'!$A$3*'Dati 1'!$G$3*'Dati 1'!$O$3)</f>
        <v>6367090496.2153044</v>
      </c>
    </row>
    <row r="113" spans="8:9" x14ac:dyDescent="0.25">
      <c r="H113">
        <f t="shared" si="4"/>
        <v>3.4000000000000017</v>
      </c>
      <c r="I113">
        <f>$I75*('Verifica a Taglio'!$A$3*'Dati 1'!$G$3*'Dati 1'!$O$3)</f>
        <v>6210094585.9872589</v>
      </c>
    </row>
    <row r="114" spans="8:9" x14ac:dyDescent="0.25">
      <c r="H114">
        <f t="shared" si="4"/>
        <v>3.5000000000000018</v>
      </c>
      <c r="I114">
        <f>$I76*('Verifica a Taglio'!$A$3*'Dati 1'!$G$3*'Dati 1'!$O$3)</f>
        <v>6059839245.2830162</v>
      </c>
    </row>
    <row r="115" spans="8:9" x14ac:dyDescent="0.25">
      <c r="H115">
        <f t="shared" si="4"/>
        <v>3.5</v>
      </c>
      <c r="I115">
        <f>$I77*('Verifica a Taglio'!$A$3*'Dati 1'!$G$3*'Dati 1'!$O$3)</f>
        <v>6059839245.2830181</v>
      </c>
    </row>
  </sheetData>
  <sheetProtection algorithmName="SHA-512" hashValue="UF51KXbersa/tBnyEA9SW+8bOQONevQ3qzIwvfhEDpIenIYx46HXZNAhgpluHaueJtwO7/3YrbOFMyLGjlSI2w==" saltValue="8oiVB9ekai70dtBepFqIlg==" spinCount="100000" sheet="1" objects="1" scenarios="1" selectLockedCells="1" selectUnlockedCells="1"/>
  <mergeCells count="9">
    <mergeCell ref="M23:N23"/>
    <mergeCell ref="M26:P26"/>
    <mergeCell ref="Q26:T26"/>
    <mergeCell ref="D3:F3"/>
    <mergeCell ref="M1:P1"/>
    <mergeCell ref="N10:Q10"/>
    <mergeCell ref="D6:F6"/>
    <mergeCell ref="M15:R15"/>
    <mergeCell ref="T18:T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activeCell="K3" sqref="K3"/>
    </sheetView>
  </sheetViews>
  <sheetFormatPr defaultRowHeight="15" x14ac:dyDescent="0.25"/>
  <cols>
    <col min="1" max="1" width="11.28515625" bestFit="1" customWidth="1"/>
    <col min="2" max="2" width="10.42578125" bestFit="1" customWidth="1"/>
    <col min="3" max="3" width="13.85546875" bestFit="1" customWidth="1"/>
    <col min="7" max="7" width="12.85546875" customWidth="1"/>
    <col min="8" max="8" width="11.140625" bestFit="1" customWidth="1"/>
    <col min="9" max="9" width="11.28515625" bestFit="1" customWidth="1"/>
    <col min="10" max="10" width="11.5703125" bestFit="1" customWidth="1"/>
    <col min="11" max="11" width="10.140625" bestFit="1" customWidth="1"/>
    <col min="14" max="14" width="13.85546875" bestFit="1" customWidth="1"/>
    <col min="15" max="15" width="10.7109375" customWidth="1"/>
    <col min="19" max="19" width="14.5703125" bestFit="1" customWidth="1"/>
  </cols>
  <sheetData>
    <row r="1" spans="1:19" ht="15.75" thickBot="1" x14ac:dyDescent="0.3">
      <c r="A1" s="3" t="s">
        <v>3</v>
      </c>
      <c r="B1" s="1" t="s">
        <v>4</v>
      </c>
      <c r="F1" s="187" t="s">
        <v>10</v>
      </c>
      <c r="G1" s="187"/>
      <c r="H1" s="1" t="s">
        <v>11</v>
      </c>
      <c r="I1" s="188"/>
      <c r="J1" s="188"/>
      <c r="O1" s="1" t="s">
        <v>15</v>
      </c>
    </row>
    <row r="2" spans="1:19" ht="44.25" thickBot="1" x14ac:dyDescent="0.35">
      <c r="A2">
        <v>6</v>
      </c>
      <c r="B2">
        <v>1</v>
      </c>
      <c r="C2" s="72" t="s">
        <v>5</v>
      </c>
      <c r="F2" s="76" t="s">
        <v>7</v>
      </c>
      <c r="G2" s="75" t="s">
        <v>83</v>
      </c>
      <c r="H2" s="75" t="s">
        <v>84</v>
      </c>
      <c r="I2" s="47"/>
      <c r="J2" s="44"/>
      <c r="K2" s="56" t="s">
        <v>57</v>
      </c>
      <c r="L2" s="72" t="s">
        <v>13</v>
      </c>
      <c r="M2" s="89" t="s">
        <v>14</v>
      </c>
      <c r="N2" s="68" t="s">
        <v>73</v>
      </c>
      <c r="O2" s="71" t="s">
        <v>81</v>
      </c>
      <c r="P2" s="77" t="s">
        <v>18</v>
      </c>
      <c r="Q2" s="77" t="s">
        <v>18</v>
      </c>
      <c r="R2" s="77" t="s">
        <v>17</v>
      </c>
      <c r="S2" s="39" t="s">
        <v>50</v>
      </c>
    </row>
    <row r="3" spans="1:19" ht="16.5" thickBot="1" x14ac:dyDescent="0.3">
      <c r="A3">
        <v>8</v>
      </c>
      <c r="B3">
        <v>2</v>
      </c>
      <c r="C3">
        <v>0.85</v>
      </c>
      <c r="F3" s="4">
        <v>0.85</v>
      </c>
      <c r="G3" s="14">
        <f>$F$17*'Dati 1'!$F$3/'Verifica a Taglio'!E3</f>
        <v>141.66666666666666</v>
      </c>
      <c r="H3" s="14">
        <f>$E$19/'Verifica a Taglio'!$G$3</f>
        <v>3913.04347826087</v>
      </c>
      <c r="I3" s="48"/>
      <c r="J3" s="45"/>
      <c r="K3" s="35">
        <f>'Verifica a Taglio'!$Q$3</f>
        <v>259.24</v>
      </c>
      <c r="L3">
        <v>0.5</v>
      </c>
      <c r="M3" s="90">
        <f>IF('Dati 1'!$N$3&lt;=0,1,IF('Dati 1'!$N$3&lt;(0.25*'Dati 1'!$G$3),(1+('Dati 1'!$N$3/'Dati 1'!$G$3)),IF('Dati 1'!$N$3&lt;=(0.5*'Dati 1'!$G$3),1.25,IF('Dati 1'!$N$3&lt;='Dati 1'!$G$3,(2.5*(1-('Dati 1'!$N$3/'Dati 1'!$G$3))),"NON VERIFICA"))))</f>
        <v>1</v>
      </c>
      <c r="N3" s="85">
        <f>IF('Verifica a Taglio'!$R$3/('Verifica a Taglio'!$A$3*'Verifica a Taglio'!$B$3)&lt;=(0.2*'Dati 1'!G3),'Verifica a Taglio'!$R$3/('Verifica a Taglio'!$A$3*'Verifica a Taglio'!$B$3),"NON VERIFICA")</f>
        <v>0</v>
      </c>
      <c r="O3">
        <f>(0.9*(('Verifica a Taglio'!$B$3)-('Verifica a Taglio'!$C$3)))</f>
        <v>50.4</v>
      </c>
      <c r="P3">
        <f>PI()*45/180</f>
        <v>0.78539816339744828</v>
      </c>
      <c r="Q3">
        <f>PI()*21.81/180</f>
        <v>0.38065630985996324</v>
      </c>
      <c r="R3">
        <f>PI()*'Verifica a Taglio'!$O$3/180</f>
        <v>1.5707963267948966</v>
      </c>
      <c r="S3" s="73">
        <f>'Calcolo 1'!$F$2</f>
        <v>44393.412023467245</v>
      </c>
    </row>
    <row r="4" spans="1:19" ht="15.75" x14ac:dyDescent="0.25">
      <c r="A4">
        <v>10</v>
      </c>
      <c r="B4">
        <v>3</v>
      </c>
      <c r="C4">
        <v>1</v>
      </c>
      <c r="J4" s="46"/>
    </row>
    <row r="5" spans="1:19" ht="16.5" thickBot="1" x14ac:dyDescent="0.3">
      <c r="A5">
        <v>12</v>
      </c>
      <c r="B5">
        <v>4</v>
      </c>
      <c r="I5" t="s">
        <v>22</v>
      </c>
      <c r="J5" s="46"/>
    </row>
    <row r="6" spans="1:19" ht="36" x14ac:dyDescent="0.25">
      <c r="A6">
        <v>14</v>
      </c>
      <c r="B6">
        <v>5</v>
      </c>
      <c r="G6" s="103" t="s">
        <v>100</v>
      </c>
      <c r="H6" s="103" t="s">
        <v>101</v>
      </c>
      <c r="I6" s="71" t="s">
        <v>80</v>
      </c>
    </row>
    <row r="7" spans="1:19" ht="15.75" thickBot="1" x14ac:dyDescent="0.3">
      <c r="A7">
        <v>16</v>
      </c>
      <c r="B7">
        <v>6</v>
      </c>
      <c r="G7" s="104">
        <f>(PI()*(('Verifica a Taglio'!$J$3/2)^2)*'Verifica a Taglio'!$K$3)/100</f>
        <v>4.6181412007769955</v>
      </c>
      <c r="H7" s="104">
        <f>(PI()*(('Verifica a Taglio'!$H$3/2)^2)*'Verifica a Taglio'!$I$3)/100</f>
        <v>4.6181412007769955</v>
      </c>
      <c r="I7" s="139">
        <f>(PI()*('Verifica a Taglio'!$M$3/2)^2*'Verifica a Taglio'!$N$3)/100</f>
        <v>1.0053096491487339</v>
      </c>
    </row>
    <row r="8" spans="1:19" x14ac:dyDescent="0.25">
      <c r="A8">
        <v>18</v>
      </c>
      <c r="B8">
        <v>7</v>
      </c>
      <c r="E8" t="s">
        <v>6</v>
      </c>
    </row>
    <row r="9" spans="1:19" x14ac:dyDescent="0.25">
      <c r="A9">
        <v>20</v>
      </c>
      <c r="B9">
        <v>8</v>
      </c>
      <c r="E9" t="s">
        <v>40</v>
      </c>
      <c r="F9" s="25">
        <f>IF('Verifica a Taglio'!$D$3="16/20",16,0)</f>
        <v>0</v>
      </c>
    </row>
    <row r="10" spans="1:19" x14ac:dyDescent="0.25">
      <c r="A10">
        <v>22</v>
      </c>
      <c r="B10">
        <v>9</v>
      </c>
      <c r="E10" t="s">
        <v>41</v>
      </c>
      <c r="F10" s="25">
        <f>IF('Verifica a Taglio'!$D$3="20/25",20,0)</f>
        <v>0</v>
      </c>
    </row>
    <row r="11" spans="1:19" x14ac:dyDescent="0.25">
      <c r="A11">
        <v>24</v>
      </c>
      <c r="B11">
        <v>10</v>
      </c>
      <c r="E11" t="s">
        <v>42</v>
      </c>
      <c r="F11" s="25">
        <f>IF('Verifica a Taglio'!$D$3="25/30",25,0)</f>
        <v>25</v>
      </c>
    </row>
    <row r="12" spans="1:19" x14ac:dyDescent="0.25">
      <c r="A12">
        <v>25</v>
      </c>
      <c r="B12">
        <v>11</v>
      </c>
      <c r="E12" t="s">
        <v>43</v>
      </c>
      <c r="F12" s="25">
        <f>IF('Verifica a Taglio'!$D$3="28/35",28,0)</f>
        <v>0</v>
      </c>
    </row>
    <row r="13" spans="1:19" x14ac:dyDescent="0.25">
      <c r="A13">
        <v>26</v>
      </c>
      <c r="B13">
        <v>12</v>
      </c>
      <c r="E13" t="s">
        <v>44</v>
      </c>
      <c r="F13" s="25">
        <f>IF('Verifica a Taglio'!$D$3="35/45",35,0)</f>
        <v>0</v>
      </c>
    </row>
    <row r="14" spans="1:19" x14ac:dyDescent="0.25">
      <c r="A14">
        <v>28</v>
      </c>
      <c r="B14">
        <v>13</v>
      </c>
      <c r="E14" t="s">
        <v>45</v>
      </c>
      <c r="F14" s="25">
        <f>IF('Verifica a Taglio'!$D$3="40/50",40,0)</f>
        <v>0</v>
      </c>
    </row>
    <row r="15" spans="1:19" x14ac:dyDescent="0.25">
      <c r="A15">
        <v>30</v>
      </c>
      <c r="E15" t="s">
        <v>46</v>
      </c>
      <c r="F15" s="25">
        <f>IF('Verifica a Taglio'!$D$3="45/55",45,0)</f>
        <v>0</v>
      </c>
    </row>
    <row r="16" spans="1:19" x14ac:dyDescent="0.25">
      <c r="A16">
        <v>32</v>
      </c>
      <c r="E16" t="s">
        <v>47</v>
      </c>
      <c r="F16" s="25">
        <f>IF('Verifica a Taglio'!$D$3="50/60",50,0)</f>
        <v>0</v>
      </c>
    </row>
    <row r="17" spans="1:6" x14ac:dyDescent="0.25">
      <c r="F17" s="25">
        <f>($F$9+$F$10+$F$11+$F$12+$F$13+$F$14+$F$15+$F$16)*10</f>
        <v>250</v>
      </c>
    </row>
    <row r="18" spans="1:6" x14ac:dyDescent="0.25">
      <c r="E18" t="s">
        <v>48</v>
      </c>
    </row>
    <row r="19" spans="1:6" x14ac:dyDescent="0.25">
      <c r="A19" s="2" t="s">
        <v>20</v>
      </c>
      <c r="B19" s="2" t="s">
        <v>21</v>
      </c>
      <c r="E19" s="34">
        <f>IF('Verifica a Taglio'!$F$3="B450C",450,450)*10</f>
        <v>4500</v>
      </c>
    </row>
    <row r="20" spans="1:6" x14ac:dyDescent="0.25">
      <c r="A20">
        <v>6</v>
      </c>
      <c r="B20">
        <v>2</v>
      </c>
    </row>
    <row r="21" spans="1:6" x14ac:dyDescent="0.25">
      <c r="A21">
        <v>8</v>
      </c>
      <c r="B21">
        <v>4</v>
      </c>
    </row>
    <row r="22" spans="1:6" x14ac:dyDescent="0.25">
      <c r="A22">
        <v>10</v>
      </c>
    </row>
    <row r="23" spans="1:6" x14ac:dyDescent="0.25">
      <c r="A23">
        <v>12</v>
      </c>
    </row>
    <row r="24" spans="1:6" x14ac:dyDescent="0.25">
      <c r="A24">
        <v>14</v>
      </c>
    </row>
    <row r="25" spans="1:6" x14ac:dyDescent="0.25">
      <c r="A25">
        <v>16</v>
      </c>
    </row>
    <row r="26" spans="1:6" x14ac:dyDescent="0.25">
      <c r="A26">
        <v>18</v>
      </c>
    </row>
    <row r="28" spans="1:6" x14ac:dyDescent="0.25">
      <c r="A28" s="3"/>
      <c r="B28" s="126"/>
    </row>
  </sheetData>
  <sheetProtection algorithmName="SHA-512" hashValue="NpviR1LAwMUjeOKmY+qWL9nPerBh10AodUQb6vFqBqax3VB/JBceIG2DeU9N5ab1uy9U19nDv6wQtiGSXzRF7A==" saltValue="wF+Mn0pP1najgu118UvsBg==" spinCount="100000" sheet="1" objects="1" scenarios="1" selectLockedCells="1" selectUnlockedCells="1"/>
  <mergeCells count="2">
    <mergeCell ref="F1:G1"/>
    <mergeCell ref="I1:J1"/>
  </mergeCells>
  <conditionalFormatting sqref="M3">
    <cfRule type="expression" dxfId="32" priority="2">
      <formula>$M$3="NON VERIFICA"</formula>
    </cfRule>
  </conditionalFormatting>
  <conditionalFormatting sqref="N3">
    <cfRule type="expression" dxfId="31" priority="1">
      <formula>$L$3="NON VERIFICA"</formula>
    </cfRule>
  </conditionalFormatting>
  <dataValidations count="1">
    <dataValidation type="list" allowBlank="1" showInputMessage="1" showErrorMessage="1" sqref="F3">
      <formula1>αcc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6"/>
  <sheetViews>
    <sheetView zoomScale="75" zoomScaleNormal="75" workbookViewId="0">
      <selection activeCell="S16" sqref="S16"/>
    </sheetView>
  </sheetViews>
  <sheetFormatPr defaultRowHeight="15" x14ac:dyDescent="0.25"/>
  <cols>
    <col min="1" max="1" width="6.5703125" bestFit="1" customWidth="1"/>
    <col min="2" max="3" width="6.42578125" customWidth="1"/>
    <col min="4" max="5" width="11.140625" customWidth="1"/>
    <col min="6" max="6" width="7.7109375" bestFit="1" customWidth="1"/>
    <col min="7" max="7" width="8.140625" bestFit="1" customWidth="1"/>
    <col min="8" max="10" width="8.140625" customWidth="1"/>
    <col min="11" max="11" width="9.140625" bestFit="1" customWidth="1"/>
    <col min="12" max="12" width="8.140625" customWidth="1"/>
    <col min="13" max="13" width="13.85546875" bestFit="1" customWidth="1"/>
    <col min="14" max="14" width="16.140625" customWidth="1"/>
    <col min="15" max="15" width="13" bestFit="1" customWidth="1"/>
    <col min="16" max="16" width="13.140625" bestFit="1" customWidth="1"/>
    <col min="17" max="17" width="13.7109375" bestFit="1" customWidth="1"/>
    <col min="18" max="18" width="12.42578125" bestFit="1" customWidth="1"/>
    <col min="19" max="19" width="22.7109375" customWidth="1"/>
    <col min="20" max="20" width="18.140625" customWidth="1"/>
    <col min="21" max="21" width="10" customWidth="1"/>
    <col min="22" max="22" width="7.28515625" customWidth="1"/>
    <col min="23" max="23" width="8.140625" bestFit="1" customWidth="1"/>
    <col min="24" max="24" width="9.42578125" customWidth="1"/>
    <col min="25" max="25" width="12.85546875" customWidth="1"/>
    <col min="30" max="30" width="6.5703125" customWidth="1"/>
    <col min="31" max="31" width="15.28515625" bestFit="1" customWidth="1"/>
  </cols>
  <sheetData>
    <row r="1" spans="1:30" ht="19.5" customHeight="1" thickBot="1" x14ac:dyDescent="0.35">
      <c r="A1" s="152" t="s">
        <v>12</v>
      </c>
      <c r="B1" s="153"/>
      <c r="C1" s="154"/>
      <c r="D1" s="152" t="s">
        <v>2</v>
      </c>
      <c r="E1" s="153"/>
      <c r="F1" s="153"/>
      <c r="G1" s="154"/>
      <c r="H1" s="155" t="s">
        <v>95</v>
      </c>
      <c r="I1" s="156"/>
      <c r="J1" s="156"/>
      <c r="K1" s="157"/>
      <c r="L1" s="79"/>
      <c r="M1" s="79"/>
      <c r="N1" s="152" t="s">
        <v>65</v>
      </c>
      <c r="O1" s="153"/>
      <c r="P1" s="154"/>
      <c r="Q1" s="189" t="str">
        <f>IF('Calcolo 2'!$E$2&gt;'Calcolo 2'!$G$2,"Modifica cls o Sezione","")</f>
        <v/>
      </c>
      <c r="R1" s="190"/>
      <c r="S1" s="155"/>
      <c r="T1" s="156"/>
      <c r="U1" s="157"/>
      <c r="V1" s="118"/>
      <c r="W1" s="111"/>
      <c r="X1" s="80"/>
      <c r="Z1" s="51"/>
      <c r="AA1" s="51"/>
      <c r="AB1" s="51"/>
      <c r="AC1" s="52"/>
      <c r="AD1" s="52"/>
    </row>
    <row r="2" spans="1:30" ht="54.75" customHeight="1" thickBot="1" x14ac:dyDescent="0.3">
      <c r="A2" s="41" t="s">
        <v>58</v>
      </c>
      <c r="B2" s="42" t="s">
        <v>59</v>
      </c>
      <c r="C2" s="43" t="s">
        <v>60</v>
      </c>
      <c r="D2" s="30" t="s">
        <v>10</v>
      </c>
      <c r="E2" s="27" t="s">
        <v>8</v>
      </c>
      <c r="F2" s="28" t="s">
        <v>48</v>
      </c>
      <c r="G2" s="29" t="s">
        <v>9</v>
      </c>
      <c r="H2" s="97" t="s">
        <v>98</v>
      </c>
      <c r="I2" s="98" t="s">
        <v>96</v>
      </c>
      <c r="J2" s="99" t="s">
        <v>99</v>
      </c>
      <c r="K2" s="100" t="s">
        <v>97</v>
      </c>
      <c r="L2" s="60" t="s">
        <v>16</v>
      </c>
      <c r="M2" s="107" t="s">
        <v>103</v>
      </c>
      <c r="N2" s="106" t="s">
        <v>66</v>
      </c>
      <c r="O2" s="105" t="s">
        <v>74</v>
      </c>
      <c r="P2" s="105" t="s">
        <v>120</v>
      </c>
      <c r="Q2" s="191"/>
      <c r="R2" s="192"/>
      <c r="S2" s="59" t="s">
        <v>68</v>
      </c>
      <c r="T2" s="58" t="s">
        <v>19</v>
      </c>
      <c r="U2" s="57" t="s">
        <v>67</v>
      </c>
      <c r="V2" s="110"/>
      <c r="W2" s="109"/>
      <c r="X2" s="81"/>
      <c r="Z2" s="51"/>
      <c r="AA2" s="51"/>
      <c r="AB2" s="51"/>
      <c r="AC2" s="53"/>
      <c r="AD2" s="53"/>
    </row>
    <row r="3" spans="1:30" ht="16.5" thickBot="1" x14ac:dyDescent="0.3">
      <c r="A3" s="10">
        <v>30</v>
      </c>
      <c r="B3" s="10">
        <v>70</v>
      </c>
      <c r="C3" s="10">
        <v>4</v>
      </c>
      <c r="D3" s="10" t="s">
        <v>42</v>
      </c>
      <c r="E3" s="26">
        <v>1.5</v>
      </c>
      <c r="F3" s="10" t="s">
        <v>49</v>
      </c>
      <c r="G3" s="26">
        <v>1.1499999999999999</v>
      </c>
      <c r="H3" s="102">
        <v>20</v>
      </c>
      <c r="I3" s="102">
        <v>6</v>
      </c>
      <c r="J3" s="102">
        <v>20</v>
      </c>
      <c r="K3" s="102">
        <v>6</v>
      </c>
      <c r="L3" s="101">
        <v>90</v>
      </c>
      <c r="M3" s="108" t="str">
        <f>'Calcolo 2'!$J$23</f>
        <v>A</v>
      </c>
      <c r="N3" s="40">
        <v>52000</v>
      </c>
      <c r="O3" s="82">
        <v>0</v>
      </c>
      <c r="P3" s="82">
        <v>0</v>
      </c>
      <c r="Q3" s="193"/>
      <c r="R3" s="194"/>
      <c r="S3" s="13">
        <v>8</v>
      </c>
      <c r="T3" s="13">
        <v>2</v>
      </c>
      <c r="U3" s="50">
        <f>'Calcolo 2'!$Q$11</f>
        <v>8.5446637864527233</v>
      </c>
      <c r="V3" s="113"/>
      <c r="W3" s="112"/>
      <c r="X3" s="81"/>
      <c r="Z3" s="54"/>
      <c r="AA3" s="54"/>
      <c r="AB3" s="54"/>
      <c r="AC3" s="55"/>
      <c r="AD3" s="55"/>
    </row>
    <row r="4" spans="1:30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>
        <v>7</v>
      </c>
      <c r="N4" s="9"/>
      <c r="O4" s="9"/>
      <c r="P4" s="9"/>
      <c r="S4" s="61"/>
      <c r="T4" s="62"/>
      <c r="U4" s="12"/>
      <c r="V4" s="9"/>
    </row>
    <row r="5" spans="1:30" ht="15.75" thickBot="1" x14ac:dyDescent="0.3"/>
    <row r="6" spans="1:30" ht="38.25" thickBot="1" x14ac:dyDescent="0.3">
      <c r="B6" t="s">
        <v>90</v>
      </c>
      <c r="D6" t="s">
        <v>102</v>
      </c>
      <c r="O6" s="132" t="s">
        <v>103</v>
      </c>
      <c r="P6" s="123" t="s">
        <v>111</v>
      </c>
      <c r="Q6" s="123" t="s">
        <v>25</v>
      </c>
      <c r="R6" s="124" t="s">
        <v>78</v>
      </c>
      <c r="S6" s="124" t="s">
        <v>76</v>
      </c>
      <c r="T6" s="125" t="s">
        <v>77</v>
      </c>
    </row>
    <row r="7" spans="1:30" ht="16.5" thickBot="1" x14ac:dyDescent="0.3">
      <c r="B7">
        <f>(0.26*0.3*('Calcolo 2'!$E$14^(2/3))*$A$3*($B$3-$C$3))/'Calcolo 2'!$D$16</f>
        <v>1.3619901025887149</v>
      </c>
      <c r="C7" s="11">
        <f>0.0013*$A$3*($B$3-$C$3)</f>
        <v>2.5739999999999998</v>
      </c>
      <c r="D7">
        <f>(1.5*$S$3)</f>
        <v>12</v>
      </c>
      <c r="O7" s="128">
        <f>'Calcolo 2'!$E$24</f>
        <v>10</v>
      </c>
      <c r="P7" s="131">
        <f>' Dati 2'!$B$2</f>
        <v>1.9015044805602614</v>
      </c>
      <c r="Q7" s="131">
        <f>' Dati 2'!$C$2</f>
        <v>1.9015044805602614</v>
      </c>
      <c r="R7" s="121">
        <f>' Dati 2'!$D$2</f>
        <v>52000</v>
      </c>
      <c r="S7" s="121">
        <f>' Dati 2'!$E$2</f>
        <v>52000</v>
      </c>
      <c r="T7" s="122">
        <f>' Dati 2'!$F$2</f>
        <v>52000</v>
      </c>
      <c r="U7" s="11"/>
    </row>
    <row r="8" spans="1:30" x14ac:dyDescent="0.25">
      <c r="B8" t="s">
        <v>91</v>
      </c>
      <c r="C8" s="95" t="s">
        <v>92</v>
      </c>
    </row>
    <row r="9" spans="1:30" x14ac:dyDescent="0.25">
      <c r="B9" s="11">
        <f>'Calcolo 2'!$N$7</f>
        <v>18.849555921538759</v>
      </c>
      <c r="C9" s="11">
        <f>'Calcolo 2'!$O$7</f>
        <v>18.849555921538759</v>
      </c>
    </row>
    <row r="10" spans="1:30" ht="16.5" thickBot="1" x14ac:dyDescent="0.3">
      <c r="B10">
        <f>IF($P$3&gt;0,$B$9,$C$9)</f>
        <v>18.849555921538759</v>
      </c>
      <c r="C10" s="17">
        <f>0.04*$A$3*$B$3</f>
        <v>84</v>
      </c>
      <c r="W10" s="9"/>
    </row>
    <row r="11" spans="1:30" ht="48" thickBot="1" x14ac:dyDescent="0.3">
      <c r="B11" s="96" t="s">
        <v>93</v>
      </c>
      <c r="C11" s="96" t="s">
        <v>94</v>
      </c>
      <c r="R11" s="107" t="s">
        <v>121</v>
      </c>
    </row>
    <row r="12" spans="1:30" ht="16.5" thickBot="1" x14ac:dyDescent="0.3">
      <c r="B12">
        <f>$B$9/($A$3*$B$3)</f>
        <v>8.9759790102565511E-3</v>
      </c>
      <c r="C12" s="94">
        <f>$C$9/($A$3*$B$3)</f>
        <v>8.9759790102565511E-3</v>
      </c>
      <c r="R12" s="148">
        <v>260</v>
      </c>
    </row>
    <row r="20" spans="1:27" ht="15.75" thickBot="1" x14ac:dyDescent="0.3"/>
    <row r="21" spans="1:27" ht="15.75" thickBot="1" x14ac:dyDescent="0.3">
      <c r="A21" s="161" t="s">
        <v>115</v>
      </c>
      <c r="B21" s="161"/>
      <c r="C21" s="161"/>
      <c r="D21" s="149" t="s">
        <v>86</v>
      </c>
      <c r="E21" s="151"/>
      <c r="F21" s="120"/>
      <c r="G21" s="162" t="s">
        <v>87</v>
      </c>
      <c r="H21" s="162"/>
      <c r="I21" s="163" t="s">
        <v>88</v>
      </c>
      <c r="J21" s="163"/>
      <c r="K21" s="163" t="s">
        <v>102</v>
      </c>
      <c r="L21" s="163"/>
      <c r="M21" s="108" t="s">
        <v>89</v>
      </c>
      <c r="N21" s="72"/>
      <c r="O21" s="162" t="s">
        <v>107</v>
      </c>
      <c r="P21" s="162"/>
      <c r="Q21" s="162" t="s">
        <v>107</v>
      </c>
      <c r="R21" s="162"/>
      <c r="S21" s="164" t="s">
        <v>89</v>
      </c>
      <c r="T21" s="162"/>
    </row>
    <row r="22" spans="1:27" ht="15" customHeight="1" thickBot="1" x14ac:dyDescent="0.3">
      <c r="A22" s="161"/>
      <c r="B22" s="161"/>
      <c r="C22" s="161"/>
      <c r="D22" s="149" t="s">
        <v>112</v>
      </c>
      <c r="E22" s="151"/>
      <c r="F22" s="120"/>
      <c r="G22" s="171" t="str">
        <f>IF($P$3&gt;0,IF($B$9&lt;$C$7,IF($B$9&lt;$B$7,"NON VERIFICA","VERIFICA"),"VERIFICA"),IF($C$9&lt;$C$7,IF($C$9&lt;$B$7,"NON VERIFICA","VERIFICA"),"VERIFICA"))</f>
        <v>VERIFICA</v>
      </c>
      <c r="H22" s="171"/>
      <c r="I22" s="171" t="str">
        <f>IF(OR($B$9&gt;$C$10,$C$9&gt;$C$10),"NON VERIFICA","VERIFICA")</f>
        <v>VERIFICA</v>
      </c>
      <c r="J22" s="171"/>
      <c r="K22" s="172" t="str">
        <f>IF(((((($S$3/2)^2)*PI())))&lt;'Progetto a Taglio'!$D$7,"NON VERIFICA","VERIFICA")</f>
        <v>VERIFICA</v>
      </c>
      <c r="L22" s="172"/>
      <c r="M22" s="140" t="str">
        <f>IF($U$3&lt;=0.8*($B$3-$C$3),IF($U$3&lt;=33.33333,"VERIFICA","NON VERIFICA"),"NON VERIFICA")</f>
        <v>VERIFICA</v>
      </c>
      <c r="O22" s="172" t="str">
        <f>IF(($B$9+$C$9)&gt;=(0.003*$A$3*$B$3),IF(($B$9+$C$9)&gt;=(0.1*$O$3/'Calcolo 2'!$D$2),"VERIFICA","NON VERIFICA"),"NON VERIFICA")</f>
        <v>VERIFICA</v>
      </c>
      <c r="P22" s="172"/>
      <c r="Q22" s="172" t="str">
        <f>IF(($B$9+$C$9)&lt;=(0.04*$A$3*$B$3),"VERIFICA","NON VERIFICA")</f>
        <v>VERIFICA</v>
      </c>
      <c r="R22" s="172"/>
      <c r="S22" s="172" t="str">
        <f>IF($U$3&lt;=12*(MIN($H$3,$J$3)/10),"VERIFICA",IF($U$3&lt;=25,"VERIFICA","NON VERIFICA"))</f>
        <v>VERIFICA</v>
      </c>
      <c r="T22" s="172"/>
    </row>
    <row r="23" spans="1:27" ht="15" customHeight="1" thickBot="1" x14ac:dyDescent="0.3">
      <c r="G23" s="163" t="s">
        <v>87</v>
      </c>
      <c r="H23" s="163"/>
      <c r="I23" s="163" t="s">
        <v>88</v>
      </c>
      <c r="J23" s="163"/>
      <c r="K23" s="164" t="s">
        <v>89</v>
      </c>
      <c r="L23" s="162"/>
      <c r="M23" s="72"/>
      <c r="N23" s="180" t="s">
        <v>117</v>
      </c>
      <c r="O23" s="182" t="s">
        <v>116</v>
      </c>
      <c r="P23" s="175"/>
      <c r="Q23" s="162" t="s">
        <v>89</v>
      </c>
      <c r="R23" s="162"/>
      <c r="S23" s="174" t="s">
        <v>123</v>
      </c>
      <c r="T23" s="175"/>
      <c r="U23" s="176" t="s">
        <v>118</v>
      </c>
      <c r="V23" s="177"/>
      <c r="W23" s="165" t="s">
        <v>119</v>
      </c>
      <c r="X23" s="166"/>
      <c r="Y23" s="174" t="s">
        <v>122</v>
      </c>
      <c r="Z23" s="182"/>
      <c r="AA23" s="175"/>
    </row>
    <row r="24" spans="1:27" ht="45" customHeight="1" thickBot="1" x14ac:dyDescent="0.3">
      <c r="G24" s="171" t="str">
        <f>IF($P$3&gt;0,IF(AND($B$9&gt;((1.4*$A$3*($B$3-$C$3))/'Calcolo 2'!$D$16),$B$12&lt;=($C$12+(3.5/'Calcolo 2'!$D$16))),"VERIFICA","NON VERIFICA"),IF(AND($C$9&gt;((1.4*$A$3*($B$3-$C$3))/'Calcolo 2'!$D$16),'Progetto a Taglio'!$C$12&lt;=('Progetto a Taglio'!$B$12+(3.5/'Calcolo 2'!$D$16))),"VERIFICA","NON VERIFICA"))</f>
        <v>VERIFICA</v>
      </c>
      <c r="H24" s="171"/>
      <c r="I24" s="171" t="str">
        <f>IF($P$3&gt;0,IF($C$12&gt;=0.25*$B$12,"VERIFICA ZONA CRITICA","NON VERIFICA ZONA CRITICA"),IF($B$12&gt;=0.25*$C$12,"VERIFICA ZONA CRITICA","NON VERIFICA ZONA CRITICA"))</f>
        <v>VERIFICA ZONA CRITICA</v>
      </c>
      <c r="J24" s="171"/>
      <c r="K24" s="173" t="str">
        <f>IF($U$3&lt;MIN('Calcolo 2'!C26:C29),"VERIFICA ZONA CRITICA","NON VERIFICA ZONA CRITICA")</f>
        <v>VERIFICA ZONA CRITICA</v>
      </c>
      <c r="L24" s="173"/>
      <c r="N24" s="181"/>
      <c r="O24" s="170" t="str">
        <f>IF($B$12+$C$12&gt;=0.01,IF($B$12+$C$12&lt;=0.04,"VERIFICA","NON VERIFICA"),"NON VERIFICA")</f>
        <v>VERIFICA</v>
      </c>
      <c r="P24" s="173"/>
      <c r="Q24" s="173" t="str">
        <f>IF($U$3&lt;=MIN('Calcolo 2'!$G$26:$G$28),"VERIFICA ZONA CRITICA","NON VERIFICA ZONA CRITICA")</f>
        <v>VERIFICA ZONA CRITICA</v>
      </c>
      <c r="R24" s="173"/>
      <c r="S24" s="169" t="str">
        <f>IF((((($S$3/2)^2)*PI()/100)/'Progetto a Taglio'!$U$3)&gt;='Calcolo 2'!$K$26,"VERIFICA","NON VERIFICA")</f>
        <v>NON VERIFICA</v>
      </c>
      <c r="T24" s="170"/>
      <c r="U24" s="178"/>
      <c r="V24" s="179"/>
      <c r="W24" s="167"/>
      <c r="X24" s="168"/>
      <c r="Y24" s="149">
        <f>IF(R12&lt;=3*B3,R12,MAX(B3,45,R12/6))</f>
        <v>70</v>
      </c>
      <c r="Z24" s="150"/>
      <c r="AA24" s="151"/>
    </row>
    <row r="25" spans="1:27" ht="15" customHeight="1" x14ac:dyDescent="0.25">
      <c r="G25" s="114"/>
      <c r="H25" s="115"/>
      <c r="I25" s="116"/>
      <c r="J25" s="117"/>
      <c r="W25" s="130"/>
      <c r="X25" s="130"/>
    </row>
    <row r="26" spans="1:27" ht="15" customHeight="1" x14ac:dyDescent="0.25"/>
  </sheetData>
  <sheetProtection algorithmName="SHA-512" hashValue="B1iXKdZ2aj1/tR6++N75n+YBn751E0vdbc0WS+Aw/X6SO9feo0/YThehm+ii4PAgQz0RQWDTXOA0L3HSvMgCJA==" saltValue="6NRMrvabvEfKZhsFck1cag==" spinCount="100000" sheet="1" objects="1" scenarios="1" selectLockedCells="1" selectUnlockedCells="1"/>
  <mergeCells count="38">
    <mergeCell ref="Y23:AA23"/>
    <mergeCell ref="Y24:AA24"/>
    <mergeCell ref="U23:V24"/>
    <mergeCell ref="N23:N24"/>
    <mergeCell ref="W23:X24"/>
    <mergeCell ref="S23:T23"/>
    <mergeCell ref="S24:T24"/>
    <mergeCell ref="N1:P1"/>
    <mergeCell ref="S1:U1"/>
    <mergeCell ref="Q1:R3"/>
    <mergeCell ref="O21:P21"/>
    <mergeCell ref="Q21:R21"/>
    <mergeCell ref="S21:T21"/>
    <mergeCell ref="S22:T22"/>
    <mergeCell ref="Q23:R23"/>
    <mergeCell ref="O24:P24"/>
    <mergeCell ref="Q24:R24"/>
    <mergeCell ref="O22:P22"/>
    <mergeCell ref="Q22:R22"/>
    <mergeCell ref="O23:P23"/>
    <mergeCell ref="A1:C1"/>
    <mergeCell ref="D1:G1"/>
    <mergeCell ref="H1:K1"/>
    <mergeCell ref="A21:C22"/>
    <mergeCell ref="D22:E22"/>
    <mergeCell ref="D21:E21"/>
    <mergeCell ref="K21:L21"/>
    <mergeCell ref="G22:H22"/>
    <mergeCell ref="I22:J22"/>
    <mergeCell ref="K22:L22"/>
    <mergeCell ref="G21:H21"/>
    <mergeCell ref="I21:J21"/>
    <mergeCell ref="K23:L23"/>
    <mergeCell ref="K24:L24"/>
    <mergeCell ref="G23:H23"/>
    <mergeCell ref="G24:H24"/>
    <mergeCell ref="I23:J23"/>
    <mergeCell ref="I24:J24"/>
  </mergeCells>
  <conditionalFormatting sqref="S2:U3">
    <cfRule type="expression" dxfId="30" priority="84">
      <formula>$Q$1="Modifica cls o Sezione"</formula>
    </cfRule>
  </conditionalFormatting>
  <conditionalFormatting sqref="Q1">
    <cfRule type="expression" dxfId="29" priority="82">
      <formula>$Q$1="Modifica cls o Sezione"</formula>
    </cfRule>
  </conditionalFormatting>
  <conditionalFormatting sqref="G22:H22">
    <cfRule type="expression" dxfId="28" priority="30">
      <formula>$G$22="NON VERIFICA"</formula>
    </cfRule>
  </conditionalFormatting>
  <conditionalFormatting sqref="I22:J22">
    <cfRule type="expression" dxfId="27" priority="29">
      <formula>$I$22="NON VERIFICA"</formula>
    </cfRule>
  </conditionalFormatting>
  <conditionalFormatting sqref="K22:L22">
    <cfRule type="expression" dxfId="26" priority="28">
      <formula>$K$22="NON VERIFICA"</formula>
    </cfRule>
  </conditionalFormatting>
  <conditionalFormatting sqref="M22">
    <cfRule type="expression" dxfId="25" priority="27">
      <formula>$M$22="NON VERIFICA"</formula>
    </cfRule>
  </conditionalFormatting>
  <conditionalFormatting sqref="I24:J24">
    <cfRule type="expression" dxfId="24" priority="25">
      <formula>$I$24="NON VERIFICA ZONA CRITICA"</formula>
    </cfRule>
  </conditionalFormatting>
  <conditionalFormatting sqref="K24:L24">
    <cfRule type="expression" dxfId="23" priority="24">
      <formula>$K$24="NON VERIFICA ZONA CRITICA"</formula>
    </cfRule>
  </conditionalFormatting>
  <conditionalFormatting sqref="G24:H24">
    <cfRule type="expression" dxfId="22" priority="23">
      <formula>$G$24="NON VERIFICA"</formula>
    </cfRule>
  </conditionalFormatting>
  <conditionalFormatting sqref="G21:M22">
    <cfRule type="expression" dxfId="21" priority="22">
      <formula>$A$21="Pilastro"</formula>
    </cfRule>
  </conditionalFormatting>
  <conditionalFormatting sqref="G23:L24">
    <cfRule type="expression" dxfId="20" priority="19">
      <formula>$D$22="no"</formula>
    </cfRule>
    <cfRule type="expression" dxfId="19" priority="21">
      <formula>$A$21="Pilastro"</formula>
    </cfRule>
  </conditionalFormatting>
  <conditionalFormatting sqref="G21:L22">
    <cfRule type="expression" dxfId="18" priority="20">
      <formula>$D$22="si"</formula>
    </cfRule>
  </conditionalFormatting>
  <conditionalFormatting sqref="M21:M22">
    <cfRule type="expression" dxfId="17" priority="18">
      <formula>$D$22="si"</formula>
    </cfRule>
  </conditionalFormatting>
  <conditionalFormatting sqref="O22:P22">
    <cfRule type="expression" dxfId="16" priority="17">
      <formula>$O$22="NON VERIFICA"</formula>
    </cfRule>
  </conditionalFormatting>
  <conditionalFormatting sqref="Q22:R22">
    <cfRule type="expression" dxfId="15" priority="16">
      <formula>$Q$22="NON VERIFICA"</formula>
    </cfRule>
  </conditionalFormatting>
  <conditionalFormatting sqref="S22:T22">
    <cfRule type="expression" dxfId="14" priority="15">
      <formula>$S$22="NON VERIFICA"</formula>
    </cfRule>
  </conditionalFormatting>
  <conditionalFormatting sqref="O24:P24">
    <cfRule type="expression" dxfId="13" priority="14">
      <formula>$O$24="NON VERIFICA"</formula>
    </cfRule>
  </conditionalFormatting>
  <conditionalFormatting sqref="Q24:R24">
    <cfRule type="expression" dxfId="12" priority="13">
      <formula>$Q$24="NON VERIFICA ZONA CRITICA"</formula>
    </cfRule>
  </conditionalFormatting>
  <conditionalFormatting sqref="S24:T24">
    <cfRule type="expression" dxfId="11" priority="12">
      <formula>$S$24="NON VERIFICA"</formula>
    </cfRule>
  </conditionalFormatting>
  <conditionalFormatting sqref="O21:T22">
    <cfRule type="expression" dxfId="10" priority="9">
      <formula>$D$22="si"</formula>
    </cfRule>
    <cfRule type="expression" dxfId="9" priority="11">
      <formula>$A$21="Trave"</formula>
    </cfRule>
  </conditionalFormatting>
  <conditionalFormatting sqref="N24:AA24 N23:R23 U23:AA23">
    <cfRule type="expression" dxfId="8" priority="10">
      <formula>$A$21="Trave"</formula>
    </cfRule>
  </conditionalFormatting>
  <conditionalFormatting sqref="O24:T24 O23:R23">
    <cfRule type="expression" dxfId="7" priority="8">
      <formula>$D$22="no"</formula>
    </cfRule>
  </conditionalFormatting>
  <conditionalFormatting sqref="U23:AA24">
    <cfRule type="expression" dxfId="6" priority="7">
      <formula>$D$22="no"</formula>
    </cfRule>
  </conditionalFormatting>
  <conditionalFormatting sqref="N23:N24">
    <cfRule type="expression" dxfId="5" priority="5">
      <formula>$D$22="no"</formula>
    </cfRule>
  </conditionalFormatting>
  <conditionalFormatting sqref="S23:T23">
    <cfRule type="expression" dxfId="4" priority="2">
      <formula>$A$21="Trave"</formula>
    </cfRule>
  </conditionalFormatting>
  <conditionalFormatting sqref="S23:T23">
    <cfRule type="expression" dxfId="3" priority="1">
      <formula>$D$22="no"</formula>
    </cfRule>
  </conditionalFormatting>
  <dataValidations disablePrompts="1" count="7">
    <dataValidation type="list" allowBlank="1" showInputMessage="1" showErrorMessage="1" sqref="D3">
      <formula1>Classecc</formula1>
    </dataValidation>
    <dataValidation type="list" allowBlank="1" showInputMessage="1" showErrorMessage="1" sqref="S3">
      <formula1>Diametrost1</formula1>
    </dataValidation>
    <dataValidation type="list" allowBlank="1" showInputMessage="1" showErrorMessage="1" sqref="T3">
      <formula1>n°braccist1</formula1>
    </dataValidation>
    <dataValidation type="list" allowBlank="1" showInputMessage="1" showErrorMessage="1" sqref="A21:C22">
      <formula1>A</formula1>
    </dataValidation>
    <dataValidation type="list" allowBlank="1" showInputMessage="1" showErrorMessage="1" sqref="D22 F22">
      <formula1>B</formula1>
    </dataValidation>
    <dataValidation type="list" allowBlank="1" showInputMessage="1" showErrorMessage="1" sqref="H3 J3">
      <formula1>D</formula1>
    </dataValidation>
    <dataValidation type="list" allowBlank="1" showInputMessage="1" showErrorMessage="1" sqref="I3 K3">
      <formula1>E</formula1>
    </dataValidation>
  </dataValidation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utoCAD.Drawing.18" shapeId="4114" r:id="rId4">
          <objectPr defaultSize="0" autoPict="0" r:id="rId5">
            <anchor moveWithCells="1">
              <from>
                <xdr:col>10</xdr:col>
                <xdr:colOff>533400</xdr:colOff>
                <xdr:row>3</xdr:row>
                <xdr:rowOff>47625</xdr:rowOff>
              </from>
              <to>
                <xdr:col>13</xdr:col>
                <xdr:colOff>523875</xdr:colOff>
                <xdr:row>11</xdr:row>
                <xdr:rowOff>190500</xdr:rowOff>
              </to>
            </anchor>
          </objectPr>
        </oleObject>
      </mc:Choice>
      <mc:Fallback>
        <oleObject progId="AutoCAD.Drawing.18" shapeId="4114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7" id="{BE35DE18-FCE6-40BD-8E0A-03B6275155B2}">
            <xm:f>'Calcolo 2'!$E$2&gt;'Calcolo 2'!$G$2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top style="thin">
                  <color theme="2" tint="-9.9917600024414813E-2"/>
                </top>
                <bottom style="thin">
                  <color theme="2" tint="-9.9948118533890809E-2"/>
                </bottom>
                <vertical/>
                <horizontal/>
              </border>
            </x14:dxf>
          </x14:cfRule>
          <xm:sqref>L2:L3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opLeftCell="A13" workbookViewId="0">
      <selection activeCell="K26" sqref="K26"/>
    </sheetView>
  </sheetViews>
  <sheetFormatPr defaultRowHeight="15" x14ac:dyDescent="0.25"/>
  <cols>
    <col min="1" max="1" width="9.7109375" bestFit="1" customWidth="1"/>
    <col min="2" max="2" width="13.85546875" bestFit="1" customWidth="1"/>
    <col min="4" max="4" width="11.140625" bestFit="1" customWidth="1"/>
    <col min="5" max="5" width="9.7109375" bestFit="1" customWidth="1"/>
    <col min="6" max="6" width="14" bestFit="1" customWidth="1"/>
    <col min="7" max="7" width="10.5703125" bestFit="1" customWidth="1"/>
    <col min="10" max="10" width="13.42578125" customWidth="1"/>
    <col min="18" max="18" width="12" bestFit="1" customWidth="1"/>
    <col min="19" max="20" width="9.140625" customWidth="1"/>
  </cols>
  <sheetData>
    <row r="1" spans="1:21" ht="63" thickBot="1" x14ac:dyDescent="0.3">
      <c r="A1" s="71" t="s">
        <v>81</v>
      </c>
      <c r="B1" s="83" t="s">
        <v>83</v>
      </c>
      <c r="C1" s="84" t="s">
        <v>64</v>
      </c>
      <c r="D1" s="83" t="s">
        <v>84</v>
      </c>
      <c r="E1" s="72" t="s">
        <v>35</v>
      </c>
      <c r="F1" s="72" t="s">
        <v>36</v>
      </c>
      <c r="G1" s="72" t="s">
        <v>37</v>
      </c>
      <c r="H1" s="72" t="s">
        <v>13</v>
      </c>
      <c r="I1" s="89" t="s">
        <v>14</v>
      </c>
      <c r="J1" s="77" t="s">
        <v>18</v>
      </c>
      <c r="K1" s="77" t="s">
        <v>18</v>
      </c>
      <c r="L1" s="77" t="s">
        <v>17</v>
      </c>
      <c r="M1" s="77" t="s">
        <v>38</v>
      </c>
      <c r="N1" s="77" t="s">
        <v>38</v>
      </c>
      <c r="O1" s="78" t="s">
        <v>39</v>
      </c>
      <c r="P1" s="78" t="s">
        <v>0</v>
      </c>
      <c r="Q1" s="78" t="s">
        <v>1</v>
      </c>
      <c r="R1" s="78" t="s">
        <v>23</v>
      </c>
      <c r="T1" s="78" t="s">
        <v>23</v>
      </c>
      <c r="U1" s="68" t="s">
        <v>73</v>
      </c>
    </row>
    <row r="2" spans="1:21" ht="16.5" thickBot="1" x14ac:dyDescent="0.3">
      <c r="A2" s="72">
        <f>0.9*(('Progetto a Taglio'!$B$3)-('Progetto a Taglio'!$C$3))</f>
        <v>59.4</v>
      </c>
      <c r="B2" s="87">
        <f>$E$14*$C$2/'Progetto a Taglio'!$E$3</f>
        <v>141.66666666666666</v>
      </c>
      <c r="C2" s="88">
        <v>0.85</v>
      </c>
      <c r="D2" s="87">
        <f>$D$16/'Progetto a Taglio'!$G$3</f>
        <v>3913.04347826087</v>
      </c>
      <c r="E2" s="72">
        <f>'Progetto a Taglio'!$N$3/('Progetto a Taglio'!$A$3*'Calcolo 2'!$A$2*'Calcolo 2'!$B$2)</f>
        <v>0.2059813824519707</v>
      </c>
      <c r="F2" s="72">
        <f>$H$2*$I$2*((_xlfn.COT($L$2)+_xlfn.COT($K$2))/(1+(_xlfn.COT($K$2)^2)))</f>
        <v>0.17246807134578976</v>
      </c>
      <c r="G2">
        <f>$H$2*$I$2*((_xlfn.COT($L$2)+_xlfn.COT($J$2))/(1+(_xlfn.COT($J$2)^2)))</f>
        <v>0.25</v>
      </c>
      <c r="H2">
        <v>0.5</v>
      </c>
      <c r="I2" s="90">
        <f>IF('Calcolo 2'!$U$2&lt;=0,1,IF('Calcolo 2'!$U$2&lt;(0.25*'Calcolo 2'!$B$2),(1+('Calcolo 2'!$U$2/'Calcolo 2'!$B$2)),IF('Calcolo 2'!$U$2&lt;=(0.5*'Calcolo 2'!$B$2),1.25,IF('Calcolo 2'!$U$2&lt;='Calcolo 2'!$B$2,(2.5*(1-('Calcolo 2'!$U$2/'Calcolo 2'!$B$2))),"NON VERIFICA"))))</f>
        <v>1</v>
      </c>
      <c r="J2">
        <f>PI()*45/180</f>
        <v>0.78539816339744828</v>
      </c>
      <c r="K2">
        <f>PI()*21.81/180</f>
        <v>0.38065630985996324</v>
      </c>
      <c r="L2">
        <f>PI()*'Progetto a Taglio'!$L$3/180</f>
        <v>1.5707963267948966</v>
      </c>
      <c r="M2">
        <f>(-$P$2+((($P$2^2)-(4*$O$2*$Q$2))^0.5))/(2*$O$2)</f>
        <v>1.9015044805602617</v>
      </c>
      <c r="N2">
        <f>(-$P$2-((($P$2^2)-(4*$O$2*$Q$2))^0.5))/(2*$O$2)</f>
        <v>0.52589936559358441</v>
      </c>
      <c r="O2">
        <f>('Progetto a Taglio'!$N$3)/('Progetto a Taglio'!$A$3*'Calcolo 2'!$A$2*'Calcolo 2'!$B$2)</f>
        <v>0.2059813824519707</v>
      </c>
      <c r="P2">
        <f>-$H$2*$I$2</f>
        <v>-0.5</v>
      </c>
      <c r="Q2">
        <f>('Progetto a Taglio'!$N$3/('Progetto a Taglio'!$A$3*'Calcolo 2'!$B$2*'Calcolo 2'!$A$2))-('Calcolo 2'!$H$2*'Calcolo 2'!$I$2*_xlfn.COT($L$2))</f>
        <v>0.20598138245197065</v>
      </c>
      <c r="R2">
        <f>'Progetto a Taglio'!$N$3/('Progetto a Taglio'!$A$3*'Calcolo 2'!$A$2*'Calcolo 2'!$B$2*SIN($L$2)*(_xlfn.COT($L$2)+$M$3+$N$3))</f>
        <v>0.10832547835558089</v>
      </c>
      <c r="T2">
        <f>'Progetto a Taglio'!$N$3/('Progetto a Taglio'!$A$3*'Calcolo 2'!$A$2*'Calcolo 2'!$B$2*SIN($L$2)*(_xlfn.COT($L$2)+2.5))</f>
        <v>8.2392552980788292E-2</v>
      </c>
      <c r="U2" s="86">
        <f>IF('Progetto a Taglio'!$O$3/('Progetto a Taglio'!$A$3*'Progetto a Taglio'!$B$3)&lt;=(0.2*'Calcolo 2'!$B$2),'Progetto a Taglio'!$O$3/('Progetto a Taglio'!$A$3*'Progetto a Taglio'!$B$3),"NON VERIFICA")</f>
        <v>0</v>
      </c>
    </row>
    <row r="3" spans="1:21" x14ac:dyDescent="0.25">
      <c r="M3">
        <f>IF($M$2&gt;=1,IF($M$2&lt;=2.5,$M$2,0),0)</f>
        <v>1.9015044805602617</v>
      </c>
      <c r="N3">
        <f>IF($N$2&gt;=1,IF($N$2&lt;=2.5,$N$2,0),0)</f>
        <v>0</v>
      </c>
    </row>
    <row r="4" spans="1:21" x14ac:dyDescent="0.25">
      <c r="Q4" s="71"/>
      <c r="R4" s="71"/>
      <c r="T4" s="71"/>
      <c r="U4" s="71"/>
    </row>
    <row r="5" spans="1:21" ht="18.75" thickBot="1" x14ac:dyDescent="0.45">
      <c r="B5" t="s">
        <v>5</v>
      </c>
      <c r="D5" t="s">
        <v>61</v>
      </c>
      <c r="F5" s="38" t="s">
        <v>82</v>
      </c>
      <c r="G5" s="38" t="s">
        <v>63</v>
      </c>
      <c r="I5" s="72" t="s">
        <v>114</v>
      </c>
      <c r="J5" s="72" t="s">
        <v>112</v>
      </c>
      <c r="K5" s="3" t="s">
        <v>3</v>
      </c>
      <c r="L5" s="91" t="s">
        <v>4</v>
      </c>
      <c r="M5" s="5"/>
      <c r="N5" s="5"/>
    </row>
    <row r="6" spans="1:21" ht="36.75" thickBot="1" x14ac:dyDescent="0.3">
      <c r="B6">
        <v>0.85</v>
      </c>
      <c r="C6">
        <v>1</v>
      </c>
      <c r="D6" t="s">
        <v>40</v>
      </c>
      <c r="E6" s="25">
        <f>IF('Progetto a Taglio'!$D$3="16/20",16,0)</f>
        <v>0</v>
      </c>
      <c r="F6">
        <v>6</v>
      </c>
      <c r="G6">
        <v>2</v>
      </c>
      <c r="I6" s="72" t="s">
        <v>115</v>
      </c>
      <c r="J6" s="72" t="s">
        <v>113</v>
      </c>
      <c r="K6">
        <v>6</v>
      </c>
      <c r="L6">
        <v>1</v>
      </c>
      <c r="N6" s="103" t="s">
        <v>100</v>
      </c>
      <c r="O6" s="103" t="s">
        <v>101</v>
      </c>
      <c r="P6" s="74" t="s">
        <v>80</v>
      </c>
      <c r="Q6" s="71" t="s">
        <v>80</v>
      </c>
      <c r="R6" s="71" t="s">
        <v>79</v>
      </c>
      <c r="T6" s="71" t="s">
        <v>80</v>
      </c>
      <c r="U6" s="71" t="s">
        <v>85</v>
      </c>
    </row>
    <row r="7" spans="1:21" ht="15.75" thickBot="1" x14ac:dyDescent="0.3">
      <c r="B7">
        <v>1</v>
      </c>
      <c r="C7">
        <v>2</v>
      </c>
      <c r="D7" t="s">
        <v>41</v>
      </c>
      <c r="E7" s="25">
        <f>IF('Progetto a Taglio'!$D$3="20/25",20,0)</f>
        <v>0</v>
      </c>
      <c r="F7">
        <v>8</v>
      </c>
      <c r="G7">
        <v>4</v>
      </c>
      <c r="K7">
        <v>8</v>
      </c>
      <c r="L7">
        <v>2</v>
      </c>
      <c r="N7" s="104">
        <f>(PI()*(('Progetto a Taglio'!$J$3/2)^2)*'Progetto a Taglio'!$K$3)/100</f>
        <v>18.849555921538759</v>
      </c>
      <c r="O7" s="104">
        <f>(PI()*(('Progetto a Taglio'!$H$3/2)^2)*'Progetto a Taglio'!$I$3)/100</f>
        <v>18.849555921538759</v>
      </c>
      <c r="P7" s="104">
        <f>PI()*(('Progetto a Taglio'!$S$3/2)^2)*'Progetto a Taglio'!$T$3/100</f>
        <v>1.0053096491487339</v>
      </c>
      <c r="Q7" s="11">
        <f>$P$7</f>
        <v>1.0053096491487339</v>
      </c>
      <c r="R7">
        <f>$Q$7*'Calcolo 2'!$D$2/('Progetto a Taglio'!$A$3*'Calcolo 2'!$B$2*'Calcolo 2'!$R$2)</f>
        <v>8.5446637864527233</v>
      </c>
      <c r="T7" s="11">
        <f>$P$7</f>
        <v>1.0053096491487339</v>
      </c>
      <c r="U7">
        <f>$T$7*'Calcolo 2'!$D$2/('Progetto a Taglio'!$A$3*'Calcolo 2'!$B$2*'Calcolo 2'!$T$2)</f>
        <v>11.234083161264905</v>
      </c>
    </row>
    <row r="8" spans="1:21" x14ac:dyDescent="0.25">
      <c r="D8" t="s">
        <v>42</v>
      </c>
      <c r="E8" s="25">
        <f>IF('Progetto a Taglio'!$D$3="25/30",25,0)</f>
        <v>25</v>
      </c>
      <c r="F8">
        <v>10</v>
      </c>
      <c r="K8">
        <v>10</v>
      </c>
      <c r="L8">
        <v>3</v>
      </c>
    </row>
    <row r="9" spans="1:21" x14ac:dyDescent="0.25">
      <c r="D9" t="s">
        <v>43</v>
      </c>
      <c r="E9" s="25">
        <f>IF('Progetto a Taglio'!$D$3="28/35",28,0)</f>
        <v>0</v>
      </c>
      <c r="F9">
        <v>12</v>
      </c>
      <c r="K9">
        <v>12</v>
      </c>
      <c r="L9">
        <v>4</v>
      </c>
    </row>
    <row r="10" spans="1:21" x14ac:dyDescent="0.25">
      <c r="D10" t="s">
        <v>44</v>
      </c>
      <c r="E10" s="25">
        <f>IF('Progetto a Taglio'!$D$3="35/45",35,0)</f>
        <v>0</v>
      </c>
      <c r="F10">
        <v>14</v>
      </c>
      <c r="K10">
        <v>14</v>
      </c>
      <c r="L10">
        <v>5</v>
      </c>
    </row>
    <row r="11" spans="1:21" x14ac:dyDescent="0.25">
      <c r="D11" t="s">
        <v>45</v>
      </c>
      <c r="E11" s="25">
        <f>IF('Progetto a Taglio'!$D$3="40/50",40,0)</f>
        <v>0</v>
      </c>
      <c r="F11">
        <v>16</v>
      </c>
      <c r="K11">
        <v>16</v>
      </c>
      <c r="L11">
        <v>6</v>
      </c>
      <c r="Q11">
        <f>IF($E$2&lt;$F$2,$U$7,IF($E$2&gt;=$F$2,IF($E$2&lt;=$G$2,$R$7,0),0))</f>
        <v>8.5446637864527233</v>
      </c>
    </row>
    <row r="12" spans="1:21" x14ac:dyDescent="0.25">
      <c r="D12" t="s">
        <v>46</v>
      </c>
      <c r="E12" s="25">
        <f>IF('Progetto a Taglio'!$D$3="45/55",45,0)</f>
        <v>0</v>
      </c>
      <c r="F12">
        <v>18</v>
      </c>
      <c r="K12">
        <v>18</v>
      </c>
      <c r="L12">
        <v>7</v>
      </c>
    </row>
    <row r="13" spans="1:21" x14ac:dyDescent="0.25">
      <c r="D13" t="s">
        <v>47</v>
      </c>
      <c r="E13" s="25">
        <f>IF('Progetto a Taglio'!$D$3="50/60",50,0)</f>
        <v>0</v>
      </c>
      <c r="K13">
        <v>20</v>
      </c>
      <c r="L13">
        <v>8</v>
      </c>
      <c r="Q13" s="16"/>
      <c r="R13" s="16"/>
      <c r="S13" s="16"/>
      <c r="T13" s="16"/>
      <c r="U13" s="16"/>
    </row>
    <row r="14" spans="1:21" ht="15.75" customHeight="1" x14ac:dyDescent="0.25">
      <c r="E14" s="25">
        <f>($E$8+$E$9+$E$10+$E$11+$E$12+$E$13+$E$7+$E$6)*10</f>
        <v>250</v>
      </c>
      <c r="K14">
        <v>22</v>
      </c>
      <c r="L14">
        <v>9</v>
      </c>
      <c r="Q14" s="18"/>
      <c r="R14" s="16"/>
      <c r="S14" s="19"/>
      <c r="T14" s="19"/>
      <c r="U14" s="20"/>
    </row>
    <row r="15" spans="1:21" x14ac:dyDescent="0.25">
      <c r="D15" t="s">
        <v>62</v>
      </c>
      <c r="K15">
        <v>24</v>
      </c>
      <c r="L15">
        <v>10</v>
      </c>
      <c r="Q15" s="21"/>
      <c r="R15" s="22"/>
      <c r="S15" s="22"/>
      <c r="T15" s="22"/>
      <c r="U15" s="23"/>
    </row>
    <row r="16" spans="1:21" x14ac:dyDescent="0.25">
      <c r="D16" s="49">
        <f>IF('Progetto a Taglio'!$F$3="B450C",450,450)*10</f>
        <v>4500</v>
      </c>
      <c r="K16">
        <v>25</v>
      </c>
      <c r="L16">
        <v>11</v>
      </c>
      <c r="Q16" s="15"/>
      <c r="R16" s="22"/>
      <c r="S16" s="22"/>
      <c r="T16" s="15"/>
      <c r="U16" s="15"/>
    </row>
    <row r="17" spans="3:21" x14ac:dyDescent="0.25">
      <c r="K17">
        <v>26</v>
      </c>
      <c r="L17">
        <v>12</v>
      </c>
      <c r="Q17" s="17"/>
      <c r="R17" s="17"/>
      <c r="S17" s="17"/>
      <c r="T17" s="17"/>
      <c r="U17" s="17"/>
    </row>
    <row r="18" spans="3:21" x14ac:dyDescent="0.25">
      <c r="C18" s="184" t="s">
        <v>106</v>
      </c>
      <c r="D18" s="184"/>
      <c r="E18" s="184"/>
      <c r="F18" s="184"/>
      <c r="G18" s="184"/>
      <c r="H18" s="184"/>
      <c r="K18">
        <v>28</v>
      </c>
      <c r="L18">
        <v>13</v>
      </c>
    </row>
    <row r="19" spans="3:21" x14ac:dyDescent="0.25">
      <c r="K19">
        <v>30</v>
      </c>
    </row>
    <row r="20" spans="3:21" ht="15.75" thickBot="1" x14ac:dyDescent="0.3">
      <c r="K20">
        <v>32</v>
      </c>
    </row>
    <row r="21" spans="3:21" ht="45.75" thickBot="1" x14ac:dyDescent="0.3">
      <c r="C21" s="71" t="s">
        <v>104</v>
      </c>
      <c r="F21" s="71" t="s">
        <v>105</v>
      </c>
      <c r="J21" s="186" t="s">
        <v>103</v>
      </c>
    </row>
    <row r="22" spans="3:21" ht="22.5" customHeight="1" thickBot="1" x14ac:dyDescent="0.3">
      <c r="C22">
        <f>MIN('Progetto a Taglio'!A3:B3)/3</f>
        <v>10</v>
      </c>
      <c r="D22">
        <v>12.5</v>
      </c>
      <c r="E22">
        <f>6*(MIN('Progetto a Taglio'!$H$3,'Progetto a Taglio'!$J$3)/10)</f>
        <v>12</v>
      </c>
      <c r="F22">
        <f>MIN('Progetto a Taglio'!A3:B3)/2</f>
        <v>15</v>
      </c>
      <c r="G22">
        <v>17.5</v>
      </c>
      <c r="H22">
        <f>8*(MIN('Progetto a Taglio'!$H$3,'Progetto a Taglio'!$J$3)/10)</f>
        <v>16</v>
      </c>
      <c r="J22" s="186"/>
    </row>
    <row r="23" spans="3:21" ht="15.75" thickBot="1" x14ac:dyDescent="0.3">
      <c r="C23">
        <f>MIN(C22:E22)</f>
        <v>10</v>
      </c>
      <c r="F23">
        <f>MIN(F22:H22)</f>
        <v>15</v>
      </c>
      <c r="J23" s="108" t="str">
        <f>IF('Progetto a Taglio'!$O$3/('Progetto a Taglio'!$A$3*'Progetto a Taglio'!$B$3*$B$2)&lt;0.55,"A",IF('Progetto a Taglio'!$O$3/('Progetto a Taglio'!$A$3*'Progetto a Taglio'!$B$3*'Calcolo 2'!$B$2)&lt;0.65,"B",0))</f>
        <v>A</v>
      </c>
    </row>
    <row r="24" spans="3:21" x14ac:dyDescent="0.25">
      <c r="E24" s="119">
        <f>IF($J$23="A",$C$23,$F$23)</f>
        <v>10</v>
      </c>
    </row>
    <row r="25" spans="3:21" x14ac:dyDescent="0.25">
      <c r="C25" s="183" t="s">
        <v>108</v>
      </c>
      <c r="D25" s="183"/>
      <c r="E25" s="183"/>
      <c r="F25" s="183"/>
      <c r="G25" s="183" t="s">
        <v>109</v>
      </c>
      <c r="H25" s="183"/>
      <c r="I25" s="183"/>
      <c r="J25" s="183"/>
      <c r="K25" s="183" t="s">
        <v>110</v>
      </c>
      <c r="L25" s="183"/>
    </row>
    <row r="26" spans="3:21" x14ac:dyDescent="0.25">
      <c r="C26">
        <f>('Progetto a Taglio'!$B$3-'Progetto a Taglio'!$C$3)/4</f>
        <v>16.5</v>
      </c>
      <c r="G26">
        <f>IF($J$23="A",'Progetto a Taglio'!$A$3/3,'Progetto a Taglio'!$A$3/2)</f>
        <v>10</v>
      </c>
      <c r="K26">
        <f>0.08*$B$2*('Progetto a Taglio'!$A$3-2*(('Progetto a Taglio'!$C$3)-((MIN('Progetto a Taglio'!H3,'Progetto a Taglio'!J3))/20)-('Progetto a Taglio'!$S$3/10)))/'Calcolo 2'!$D$2</f>
        <v>7.4145185185185175E-2</v>
      </c>
      <c r="L26">
        <f>0.12*$B$2*('Progetto a Taglio'!$A$3-2*(('Progetto a Taglio'!$C$3)-((MIN('Progetto a Taglio'!H3,'Progetto a Taglio'!J3))/20)-('Progetto a Taglio'!$S$3/10)))/'Calcolo 2'!$D$2</f>
        <v>0.11121777777777778</v>
      </c>
    </row>
    <row r="27" spans="3:21" x14ac:dyDescent="0.25">
      <c r="C27">
        <f>IF($J$23="A",17.5,22.5)</f>
        <v>17.5</v>
      </c>
      <c r="G27">
        <f>IF($J$23="A",12.5,17.5)</f>
        <v>12.5</v>
      </c>
    </row>
    <row r="28" spans="3:21" x14ac:dyDescent="0.25">
      <c r="C28">
        <f>IF($J$23="A",((6*MIN('Progetto a Taglio'!H3,'Progetto a Taglio'!J3))/10),((8*MIN('Progetto a Taglio'!H3,'Progetto a Taglio'!J3))/10))</f>
        <v>12</v>
      </c>
      <c r="G28">
        <f>IF($J$23="A",6*(MIN('Progetto a Taglio'!H3,'Progetto a Taglio'!J3))/10,8*(MIN('Progetto a Taglio'!H3,'Progetto a Taglio'!J3))/10)</f>
        <v>12</v>
      </c>
    </row>
    <row r="29" spans="3:21" x14ac:dyDescent="0.25">
      <c r="C29">
        <f>24*'Progetto a Taglio'!$S$3/10</f>
        <v>19.2</v>
      </c>
    </row>
  </sheetData>
  <sheetProtection algorithmName="SHA-512" hashValue="kIHd7Z62mrLYZAGc6FF13qXIy4ay4GfRYZNkjtYJDymwK2iDHMnkYg1eMbZeUfj0UO18NBFD056u99nXp8hqsQ==" saltValue="G7RJR7dZ5xGB5pRC3GosMg==" spinCount="100000" sheet="1" objects="1" scenarios="1" selectLockedCells="1" selectUnlockedCells="1"/>
  <mergeCells count="5">
    <mergeCell ref="C18:H18"/>
    <mergeCell ref="C25:F25"/>
    <mergeCell ref="J21:J22"/>
    <mergeCell ref="G25:J25"/>
    <mergeCell ref="K25:L25"/>
  </mergeCells>
  <conditionalFormatting sqref="I2">
    <cfRule type="expression" dxfId="1" priority="2">
      <formula>$I$2="NON VERIFICA"</formula>
    </cfRule>
  </conditionalFormatting>
  <conditionalFormatting sqref="U2">
    <cfRule type="expression" dxfId="0" priority="1">
      <formula>$M$18="NON VERIFICA"</formula>
    </cfRule>
  </conditionalFormatting>
  <dataValidations count="1">
    <dataValidation type="list" allowBlank="1" showInputMessage="1" showErrorMessage="1" sqref="C2">
      <formula1>αcc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opLeftCell="B1" workbookViewId="0">
      <selection activeCell="C2" sqref="C2"/>
    </sheetView>
  </sheetViews>
  <sheetFormatPr defaultRowHeight="15" x14ac:dyDescent="0.25"/>
  <cols>
    <col min="4" max="4" width="12" bestFit="1" customWidth="1"/>
    <col min="5" max="5" width="12.140625" bestFit="1" customWidth="1"/>
    <col min="6" max="6" width="12" bestFit="1" customWidth="1"/>
    <col min="9" max="11" width="12" bestFit="1" customWidth="1"/>
    <col min="19" max="19" width="12" bestFit="1" customWidth="1"/>
  </cols>
  <sheetData>
    <row r="1" spans="1:19" ht="30" x14ac:dyDescent="0.25">
      <c r="A1" s="72" t="s">
        <v>23</v>
      </c>
      <c r="B1" s="72" t="s">
        <v>24</v>
      </c>
      <c r="C1" s="72" t="s">
        <v>25</v>
      </c>
      <c r="D1" s="71" t="s">
        <v>78</v>
      </c>
      <c r="E1" s="71" t="s">
        <v>76</v>
      </c>
      <c r="F1" s="71" t="s">
        <v>77</v>
      </c>
      <c r="H1" t="s">
        <v>26</v>
      </c>
      <c r="M1" s="184" t="s">
        <v>31</v>
      </c>
      <c r="N1" s="184"/>
      <c r="O1" s="184"/>
      <c r="P1" s="184"/>
      <c r="Q1" t="s">
        <v>34</v>
      </c>
      <c r="S1" s="71" t="s">
        <v>81</v>
      </c>
    </row>
    <row r="2" spans="1:19" ht="18.75" thickBot="1" x14ac:dyDescent="0.45">
      <c r="A2">
        <f>IF('Calcolo 2'!$E$2&lt;='Calcolo 2'!$G$2,IF('Calcolo 2'!$E$2&gt;='Calcolo 2'!$F$2,(('Calcolo 2'!$Q$7+'Calcolo 2'!$R$5)*'Calcolo 2'!$D$2)/(('Progetto a Taglio'!$A$3*('Calcolo 2'!$Q$5+'Calcolo 2'!$R$7))*'Calcolo 2'!$B$2),(('Calcolo 2'!$U$5+'Calcolo 2'!$T$7)*'Calcolo 2'!$D$2)/(('Progetto a Taglio'!$A$3*('Calcolo 2'!$T$5+'Calcolo 2'!$U$7))*'Calcolo 2'!$B$2)),0)</f>
        <v>0.1083254783555809</v>
      </c>
      <c r="B2" s="70">
        <f>_xlfn.COT(ASIN(SQRT(($A$2*SIN('Calcolo 2'!$L$2))/('Calcolo 2'!$H$2*'Calcolo 2'!$I$2))))</f>
        <v>1.9015044805602614</v>
      </c>
      <c r="C2">
        <f>IF($B$2&lt;=2.5,IF($B$2&gt;=1,$B$2,1),2.5)</f>
        <v>1.9015044805602614</v>
      </c>
      <c r="D2" s="35">
        <f>('Progetto a Taglio'!$A$3*$S$2*'Calcolo 2'!$H$2*'Calcolo 2'!$I$2*'Calcolo 2'!$B$2)*((_xlfn.COT('Calcolo 2'!$L$2)+$C$2)/(1+($C$2^2)))</f>
        <v>52000</v>
      </c>
      <c r="E2" s="35">
        <f>IF('Calcolo 2'!$E$2&lt;='Calcolo 2'!$G$2,IF('Calcolo 2'!$E$2&gt;='Calcolo 2'!$F$2,('Calcolo 2'!$R$5+'Calcolo 2'!$Q$7)*'Calcolo 2'!$D$2*$S$2*SIN('Calcolo 2'!$L$2)*($C$2+_xlfn.COT('Calcolo 2'!$L$2))/(('Calcolo 2'!$Q$5+'Calcolo 2'!$R$7)),(('Calcolo 2'!$U$5+'Calcolo 2'!$T$7)*'Calcolo 2'!$D$2*' Dati 2'!$S$2*SIN('Calcolo 2'!$L$2)*(' Dati 2'!$C$2+_xlfn.COT('Calcolo 2'!$L$2)))/('Calcolo 2'!$T$5+'Calcolo 2'!$U$7)),0)</f>
        <v>52000</v>
      </c>
      <c r="F2" s="35">
        <f>IF($D$2=$E$2,$D$2,MIN($D$2:$E$2))</f>
        <v>52000</v>
      </c>
      <c r="H2" t="s">
        <v>24</v>
      </c>
      <c r="I2" t="s">
        <v>27</v>
      </c>
      <c r="J2" t="s">
        <v>28</v>
      </c>
      <c r="K2" t="s">
        <v>29</v>
      </c>
      <c r="M2" t="s">
        <v>32</v>
      </c>
      <c r="N2" t="s">
        <v>33</v>
      </c>
      <c r="O2" t="s">
        <v>32</v>
      </c>
      <c r="P2" t="s">
        <v>33</v>
      </c>
      <c r="Q2" t="s">
        <v>32</v>
      </c>
      <c r="R2" t="s">
        <v>33</v>
      </c>
      <c r="S2">
        <f>0.9*(('Progetto a Taglio'!$B$3)-('Progetto a Taglio'!$C$3))</f>
        <v>59.4</v>
      </c>
    </row>
    <row r="3" spans="1:19" x14ac:dyDescent="0.25">
      <c r="D3" s="184" t="s">
        <v>30</v>
      </c>
      <c r="E3" s="184"/>
      <c r="F3" s="184"/>
      <c r="H3">
        <v>0</v>
      </c>
      <c r="I3">
        <f>(('Calcolo 2'!$I$2*'Calcolo 2'!$H$2)*((_xlfn.COT('Calcolo 2'!$L$2)+$H3)/(1+($H3^2))))</f>
        <v>3.06287113727155E-17</v>
      </c>
      <c r="J3">
        <f>IF('Calcolo 2'!$E$2&gt;='Calcolo 2'!$F$2,IF('Calcolo 2'!$E$2&lt;='Calcolo 2'!$G$2,((('Calcolo 2'!$R$5+'Calcolo 2'!$P$7)*'Calcolo 2'!$D$2*SIN('Calcolo 2'!$L$2)*(' Dati 2'!$H3+_xlfn.COT('Calcolo 2'!$L$2)))/(('Calcolo 2'!$Q$5+'Calcolo 2'!$R$7)))/('Progetto a Taglio'!$A$3*'Calcolo 2'!$B$2),0),((('Calcolo 2'!$U$5+'Calcolo 2'!$T$7)*'Calcolo 2'!$D$2*SIN('Calcolo 2'!$L$2)*(' Dati 2'!$H3+_xlfn.COT('Calcolo 2'!$L$2)))/('Calcolo 2'!$T$5+'Calcolo 2'!$U$7))/('Progetto a Taglio'!$A$3*'Calcolo 2'!$B$2))</f>
        <v>6.6357396217288544E-18</v>
      </c>
      <c r="K3">
        <f>MIN($I3:$J3)</f>
        <v>6.6357396217288544E-18</v>
      </c>
      <c r="M3">
        <v>1</v>
      </c>
      <c r="N3" s="7">
        <v>0</v>
      </c>
      <c r="O3">
        <v>2.5</v>
      </c>
      <c r="P3">
        <v>0</v>
      </c>
      <c r="Q3">
        <v>0</v>
      </c>
      <c r="R3" s="133">
        <v>0</v>
      </c>
      <c r="S3" s="134">
        <v>0</v>
      </c>
    </row>
    <row r="4" spans="1:19" ht="15.75" thickBot="1" x14ac:dyDescent="0.3">
      <c r="D4">
        <f>('Calcolo 2'!$I$2*'Calcolo 2'!$H$2)*((_xlfn.COT('Calcolo 2'!$L$2)+' Dati 2'!$C$2)/(1+($C$2^2)))</f>
        <v>0.2059813824519707</v>
      </c>
      <c r="E4">
        <f>IF('Calcolo 2'!$E$2&lt;='Calcolo 2'!$G$2,IF('Calcolo 2'!$E$2&gt;='Calcolo 2'!$F$2,('Calcolo 2'!$R$5+'Calcolo 2'!$Q$7)*'Calcolo 2'!$D$2*SIN('Calcolo 2'!$L$2)*($C$2+_xlfn.COT('Calcolo 2'!$L$2))/(('Calcolo 2'!$Q$5+'Calcolo 2'!$R$7)*'Progetto a Taglio'!$A$3*'Calcolo 2'!$B$2),(('Calcolo 2'!$U$5+'Calcolo 2'!$T$7)*'Calcolo 2'!$D$2*SIN('Calcolo 2'!$L$2)*(' Dati 2'!$C$2+_xlfn.COT('Calcolo 2'!$L$2)))/(('Calcolo 2'!$T$5+'Calcolo 2'!$U$7)*'Progetto a Taglio'!$A$3*'Calcolo 2'!$B$2)),0)</f>
        <v>0.20598138245197073</v>
      </c>
      <c r="F4">
        <f>IF($D$4=$E$4,$D$4,MIN($D$4:$E$4))</f>
        <v>0.2059813824519707</v>
      </c>
      <c r="H4">
        <f t="shared" ref="H4:H32" si="0">IF($H3+0.1&lt;=3.5,$H3+0.1,3.5)</f>
        <v>0.1</v>
      </c>
      <c r="I4">
        <f>(('Calcolo 2'!$I$2*'Calcolo 2'!$H$2)*((_xlfn.COT('Calcolo 2'!$L$2)+$H4)/(1+($H4^2))))</f>
        <v>4.9504950495049535E-2</v>
      </c>
      <c r="J4">
        <f>IF('Calcolo 2'!$E$2&gt;='Calcolo 2'!$F$2,IF('Calcolo 2'!$E$2&lt;='Calcolo 2'!$G$2,((('Calcolo 2'!$R$5+'Calcolo 2'!$P$7)*'Calcolo 2'!$D$2*SIN('Calcolo 2'!$L$2)*(' Dati 2'!$H4+_xlfn.COT('Calcolo 2'!$L$2)))/(('Calcolo 2'!$Q$5+'Calcolo 2'!$R$7)))/('Progetto a Taglio'!$A$3*'Calcolo 2'!$B$2),0),((('Calcolo 2'!$U$5+'Calcolo 2'!$T$7)*'Calcolo 2'!$D$2*SIN('Calcolo 2'!$L$2)*(' Dati 2'!$H4+_xlfn.COT('Calcolo 2'!$L$2)))/('Calcolo 2'!$T$5+'Calcolo 2'!$U$7))/('Progetto a Taglio'!$A$3*'Calcolo 2'!$B$2))</f>
        <v>1.0832547835558096E-2</v>
      </c>
      <c r="K4">
        <f t="shared" ref="K4:K39" si="1">MIN($I4:$J4)</f>
        <v>1.0832547835558096E-2</v>
      </c>
      <c r="M4">
        <v>1</v>
      </c>
      <c r="N4" s="8">
        <v>120000</v>
      </c>
      <c r="O4">
        <v>2.5</v>
      </c>
      <c r="P4">
        <v>120000</v>
      </c>
      <c r="Q4">
        <f>IF('Calcolo 2'!$E$2&gt;='Calcolo 2'!$F$2,IF('Calcolo 2'!$E$2&lt;='Calcolo 2'!$G$2,'Calcolo 2'!$M$3+'Calcolo 2'!$N$3,0),2.5)</f>
        <v>1.9015044805602617</v>
      </c>
      <c r="R4" s="135">
        <f>$F$4</f>
        <v>0.2059813824519707</v>
      </c>
      <c r="S4" s="136">
        <f>$R$4*('Progetto a Taglio'!$A$3*'Calcolo 2'!$A$2*'Calcolo 2'!$B$2)</f>
        <v>52000</v>
      </c>
    </row>
    <row r="5" spans="1:19" x14ac:dyDescent="0.25">
      <c r="H5">
        <f t="shared" si="0"/>
        <v>0.2</v>
      </c>
      <c r="I5">
        <f>(('Calcolo 2'!$I$2*'Calcolo 2'!$H$2)*((_xlfn.COT('Calcolo 2'!$L$2)+$H5)/(1+($H5^2))))</f>
        <v>9.6153846153846187E-2</v>
      </c>
      <c r="J5">
        <f>IF('Calcolo 2'!$E$2&gt;='Calcolo 2'!$F$2,IF('Calcolo 2'!$E$2&lt;='Calcolo 2'!$G$2,((('Calcolo 2'!$R$5+'Calcolo 2'!$P$7)*'Calcolo 2'!$D$2*SIN('Calcolo 2'!$L$2)*(' Dati 2'!$H5+_xlfn.COT('Calcolo 2'!$L$2)))/(('Calcolo 2'!$Q$5+'Calcolo 2'!$R$7)))/('Progetto a Taglio'!$A$3*'Calcolo 2'!$B$2),0),((('Calcolo 2'!$U$5+'Calcolo 2'!$T$7)*'Calcolo 2'!$D$2*SIN('Calcolo 2'!$L$2)*(' Dati 2'!$H5+_xlfn.COT('Calcolo 2'!$L$2)))/('Calcolo 2'!$T$5+'Calcolo 2'!$U$7))/('Progetto a Taglio'!$A$3*'Calcolo 2'!$B$2))</f>
        <v>2.1665095671116186E-2</v>
      </c>
      <c r="K5">
        <f t="shared" si="1"/>
        <v>2.1665095671116186E-2</v>
      </c>
      <c r="Q5" t="s">
        <v>34</v>
      </c>
    </row>
    <row r="6" spans="1:19" ht="15.75" thickBot="1" x14ac:dyDescent="0.3">
      <c r="H6">
        <f t="shared" si="0"/>
        <v>0.30000000000000004</v>
      </c>
      <c r="I6">
        <f>(('Calcolo 2'!$I$2*'Calcolo 2'!$H$2)*((_xlfn.COT('Calcolo 2'!$L$2)+$H6)/(1+($H6^2))))</f>
        <v>0.1376146788990826</v>
      </c>
      <c r="J6">
        <f>IF('Calcolo 2'!$E$2&gt;='Calcolo 2'!$F$2,IF('Calcolo 2'!$E$2&lt;='Calcolo 2'!$G$2,((('Calcolo 2'!$R$5+'Calcolo 2'!$P$7)*'Calcolo 2'!$D$2*SIN('Calcolo 2'!$L$2)*(' Dati 2'!$H6+_xlfn.COT('Calcolo 2'!$L$2)))/(('Calcolo 2'!$Q$5+'Calcolo 2'!$R$7)))/('Progetto a Taglio'!$A$3*'Calcolo 2'!$B$2),0),((('Calcolo 2'!$U$5+'Calcolo 2'!$T$7)*'Calcolo 2'!$D$2*SIN('Calcolo 2'!$L$2)*(' Dati 2'!$H6+_xlfn.COT('Calcolo 2'!$L$2)))/('Calcolo 2'!$T$5+'Calcolo 2'!$U$7))/('Progetto a Taglio'!$A$3*'Calcolo 2'!$B$2))</f>
        <v>3.2497643506674279E-2</v>
      </c>
      <c r="K6">
        <f t="shared" si="1"/>
        <v>3.2497643506674279E-2</v>
      </c>
      <c r="Q6" t="s">
        <v>32</v>
      </c>
      <c r="R6" t="s">
        <v>33</v>
      </c>
    </row>
    <row r="7" spans="1:19" x14ac:dyDescent="0.25">
      <c r="H7">
        <f t="shared" si="0"/>
        <v>0.4</v>
      </c>
      <c r="I7">
        <f>(('Calcolo 2'!$I$2*'Calcolo 2'!$H$2)*((_xlfn.COT('Calcolo 2'!$L$2)+$H7)/(1+($H7^2))))</f>
        <v>0.17241379310344829</v>
      </c>
      <c r="J7">
        <f>IF('Calcolo 2'!$E$2&gt;='Calcolo 2'!$F$2,IF('Calcolo 2'!$E$2&lt;='Calcolo 2'!$G$2,((('Calcolo 2'!$R$5+'Calcolo 2'!$P$7)*'Calcolo 2'!$D$2*SIN('Calcolo 2'!$L$2)*(' Dati 2'!$H7+_xlfn.COT('Calcolo 2'!$L$2)))/(('Calcolo 2'!$Q$5+'Calcolo 2'!$R$7)))/('Progetto a Taglio'!$A$3*'Calcolo 2'!$B$2),0),((('Calcolo 2'!$U$5+'Calcolo 2'!$T$7)*'Calcolo 2'!$D$2*SIN('Calcolo 2'!$L$2)*(' Dati 2'!$H7+_xlfn.COT('Calcolo 2'!$L$2)))/('Calcolo 2'!$T$5+'Calcolo 2'!$U$7))/('Progetto a Taglio'!$A$3*'Calcolo 2'!$B$2))</f>
        <v>4.3330191342232365E-2</v>
      </c>
      <c r="K7">
        <f t="shared" si="1"/>
        <v>4.3330191342232365E-2</v>
      </c>
      <c r="Q7">
        <f>C2</f>
        <v>1.9015044805602614</v>
      </c>
      <c r="R7" s="133">
        <f>$F$4</f>
        <v>0.2059813824519707</v>
      </c>
      <c r="S7" s="134">
        <f>$R$7*('Progetto a Taglio'!$A$3*'Calcolo 2'!$A$2*'Calcolo 2'!$B$2)</f>
        <v>52000</v>
      </c>
    </row>
    <row r="8" spans="1:19" ht="15.75" thickBot="1" x14ac:dyDescent="0.3">
      <c r="H8">
        <f t="shared" si="0"/>
        <v>0.5</v>
      </c>
      <c r="I8">
        <f>(('Calcolo 2'!$I$2*'Calcolo 2'!$H$2)*((_xlfn.COT('Calcolo 2'!$L$2)+$H8)/(1+($H8^2))))</f>
        <v>0.20000000000000004</v>
      </c>
      <c r="J8">
        <f>IF('Calcolo 2'!$E$2&gt;='Calcolo 2'!$F$2,IF('Calcolo 2'!$E$2&lt;='Calcolo 2'!$G$2,((('Calcolo 2'!$R$5+'Calcolo 2'!$P$7)*'Calcolo 2'!$D$2*SIN('Calcolo 2'!$L$2)*(' Dati 2'!$H8+_xlfn.COT('Calcolo 2'!$L$2)))/(('Calcolo 2'!$Q$5+'Calcolo 2'!$R$7)))/('Progetto a Taglio'!$A$3*'Calcolo 2'!$B$2),0),((('Calcolo 2'!$U$5+'Calcolo 2'!$T$7)*'Calcolo 2'!$D$2*SIN('Calcolo 2'!$L$2)*(' Dati 2'!$H8+_xlfn.COT('Calcolo 2'!$L$2)))/('Calcolo 2'!$T$5+'Calcolo 2'!$U$7))/('Progetto a Taglio'!$A$3*'Calcolo 2'!$B$2))</f>
        <v>5.4162739177790457E-2</v>
      </c>
      <c r="K8">
        <f t="shared" si="1"/>
        <v>5.4162739177790457E-2</v>
      </c>
      <c r="Q8">
        <f>B2</f>
        <v>1.9015044805602614</v>
      </c>
      <c r="R8" s="135">
        <f>('Calcolo 2'!$H$2*'Calcolo 2'!$I$2)*((_xlfn.COT('Calcolo 2'!$L$2)+' Dati 2'!$B$2)/(1+(' Dati 2'!$B$2^2)))</f>
        <v>0.2059813824519707</v>
      </c>
      <c r="S8" s="136">
        <f>$R$8*('Calcolo 2'!$A$2*'Calcolo 2'!$B$2*'Progetto a Taglio'!$A$3)</f>
        <v>52000</v>
      </c>
    </row>
    <row r="9" spans="1:19" x14ac:dyDescent="0.25">
      <c r="H9">
        <f t="shared" si="0"/>
        <v>0.6</v>
      </c>
      <c r="I9">
        <f>(('Calcolo 2'!$I$2*'Calcolo 2'!$H$2)*((_xlfn.COT('Calcolo 2'!$L$2)+$H9)/(1+($H9^2))))</f>
        <v>0.2205882352941177</v>
      </c>
      <c r="J9">
        <f>IF('Calcolo 2'!$E$2&gt;='Calcolo 2'!$F$2,IF('Calcolo 2'!$E$2&lt;='Calcolo 2'!$G$2,((('Calcolo 2'!$R$5+'Calcolo 2'!$P$7)*'Calcolo 2'!$D$2*SIN('Calcolo 2'!$L$2)*(' Dati 2'!$H9+_xlfn.COT('Calcolo 2'!$L$2)))/(('Calcolo 2'!$Q$5+'Calcolo 2'!$R$7)))/('Progetto a Taglio'!$A$3*'Calcolo 2'!$B$2),0),((('Calcolo 2'!$U$5+'Calcolo 2'!$T$7)*'Calcolo 2'!$D$2*SIN('Calcolo 2'!$L$2)*(' Dati 2'!$H9+_xlfn.COT('Calcolo 2'!$L$2)))/('Calcolo 2'!$T$5+'Calcolo 2'!$U$7))/('Progetto a Taglio'!$A$3*'Calcolo 2'!$B$2))</f>
        <v>6.4995287013348543E-2</v>
      </c>
      <c r="K9">
        <f t="shared" si="1"/>
        <v>6.4995287013348543E-2</v>
      </c>
    </row>
    <row r="10" spans="1:19" x14ac:dyDescent="0.25">
      <c r="H10">
        <f t="shared" si="0"/>
        <v>0.7</v>
      </c>
      <c r="I10">
        <f>(('Calcolo 2'!$I$2*'Calcolo 2'!$H$2)*((_xlfn.COT('Calcolo 2'!$L$2)+$H10)/(1+($H10^2))))</f>
        <v>0.23489932885906042</v>
      </c>
      <c r="J10">
        <f>IF('Calcolo 2'!$E$2&gt;='Calcolo 2'!$F$2,IF('Calcolo 2'!$E$2&lt;='Calcolo 2'!$G$2,((('Calcolo 2'!$R$5+'Calcolo 2'!$P$7)*'Calcolo 2'!$D$2*SIN('Calcolo 2'!$L$2)*(' Dati 2'!$H10+_xlfn.COT('Calcolo 2'!$L$2)))/(('Calcolo 2'!$Q$5+'Calcolo 2'!$R$7)))/('Progetto a Taglio'!$A$3*'Calcolo 2'!$B$2),0),((('Calcolo 2'!$U$5+'Calcolo 2'!$T$7)*'Calcolo 2'!$D$2*SIN('Calcolo 2'!$L$2)*(' Dati 2'!$H10+_xlfn.COT('Calcolo 2'!$L$2)))/('Calcolo 2'!$T$5+'Calcolo 2'!$U$7))/('Progetto a Taglio'!$A$3*'Calcolo 2'!$B$2))</f>
        <v>7.582783484890665E-2</v>
      </c>
      <c r="K10">
        <f t="shared" si="1"/>
        <v>7.582783484890665E-2</v>
      </c>
      <c r="Q10" t="s">
        <v>69</v>
      </c>
    </row>
    <row r="11" spans="1:19" ht="15.75" thickBot="1" x14ac:dyDescent="0.3">
      <c r="H11">
        <f t="shared" si="0"/>
        <v>0.79999999999999993</v>
      </c>
      <c r="I11">
        <f>(('Calcolo 2'!$I$2*'Calcolo 2'!$H$2)*((_xlfn.COT('Calcolo 2'!$L$2)+$H11)/(1+($H11^2))))</f>
        <v>0.24390243902439027</v>
      </c>
      <c r="J11">
        <f>IF('Calcolo 2'!$E$2&gt;='Calcolo 2'!$F$2,IF('Calcolo 2'!$E$2&lt;='Calcolo 2'!$G$2,((('Calcolo 2'!$R$5+'Calcolo 2'!$P$7)*'Calcolo 2'!$D$2*SIN('Calcolo 2'!$L$2)*(' Dati 2'!$H11+_xlfn.COT('Calcolo 2'!$L$2)))/(('Calcolo 2'!$Q$5+'Calcolo 2'!$R$7)))/('Progetto a Taglio'!$A$3*'Calcolo 2'!$B$2),0),((('Calcolo 2'!$U$5+'Calcolo 2'!$T$7)*'Calcolo 2'!$D$2*SIN('Calcolo 2'!$L$2)*(' Dati 2'!$H11+_xlfn.COT('Calcolo 2'!$L$2)))/('Calcolo 2'!$T$5+'Calcolo 2'!$U$7))/('Progetto a Taglio'!$A$3*'Calcolo 2'!$B$2))</f>
        <v>8.6660382684464715E-2</v>
      </c>
      <c r="K11">
        <f t="shared" si="1"/>
        <v>8.6660382684464715E-2</v>
      </c>
      <c r="Q11" t="s">
        <v>32</v>
      </c>
      <c r="R11" t="s">
        <v>33</v>
      </c>
    </row>
    <row r="12" spans="1:19" x14ac:dyDescent="0.25">
      <c r="H12">
        <f t="shared" si="0"/>
        <v>0.89999999999999991</v>
      </c>
      <c r="I12">
        <f>(('Calcolo 2'!$I$2*'Calcolo 2'!$H$2)*((_xlfn.COT('Calcolo 2'!$L$2)+$H12)/(1+($H12^2))))</f>
        <v>0.24861878453038677</v>
      </c>
      <c r="J12">
        <f>IF('Calcolo 2'!$E$2&gt;='Calcolo 2'!$F$2,IF('Calcolo 2'!$E$2&lt;='Calcolo 2'!$G$2,((('Calcolo 2'!$R$5+'Calcolo 2'!$P$7)*'Calcolo 2'!$D$2*SIN('Calcolo 2'!$L$2)*(' Dati 2'!$H12+_xlfn.COT('Calcolo 2'!$L$2)))/(('Calcolo 2'!$Q$5+'Calcolo 2'!$R$7)))/('Progetto a Taglio'!$A$3*'Calcolo 2'!$B$2),0),((('Calcolo 2'!$U$5+'Calcolo 2'!$T$7)*'Calcolo 2'!$D$2*SIN('Calcolo 2'!$L$2)*(' Dati 2'!$H12+_xlfn.COT('Calcolo 2'!$L$2)))/('Calcolo 2'!$T$5+'Calcolo 2'!$U$7))/('Progetto a Taglio'!$A$3*'Calcolo 2'!$B$2))</f>
        <v>9.7492930520022808E-2</v>
      </c>
      <c r="K12">
        <f t="shared" si="1"/>
        <v>9.7492930520022808E-2</v>
      </c>
      <c r="Q12">
        <v>0</v>
      </c>
      <c r="R12" s="133">
        <f>'Calcolo 2'!E2</f>
        <v>0.2059813824519707</v>
      </c>
      <c r="S12" s="134">
        <f>$R$12*('Calcolo 2'!$B$2*'Calcolo 2'!$A$2*'Progetto a Taglio'!$A$3)</f>
        <v>52000</v>
      </c>
    </row>
    <row r="13" spans="1:19" ht="15.75" thickBot="1" x14ac:dyDescent="0.3">
      <c r="H13">
        <f t="shared" si="0"/>
        <v>0.99999999999999989</v>
      </c>
      <c r="I13">
        <f>(('Calcolo 2'!$I$2*'Calcolo 2'!$H$2)*((_xlfn.COT('Calcolo 2'!$L$2)+$H13)/(1+($H13^2))))</f>
        <v>0.25</v>
      </c>
      <c r="J13">
        <f>IF('Calcolo 2'!$E$2&gt;='Calcolo 2'!$F$2,IF('Calcolo 2'!$E$2&lt;='Calcolo 2'!$G$2,((('Calcolo 2'!$R$5+'Calcolo 2'!$P$7)*'Calcolo 2'!$D$2*SIN('Calcolo 2'!$L$2)*(' Dati 2'!$H13+_xlfn.COT('Calcolo 2'!$L$2)))/(('Calcolo 2'!$Q$5+'Calcolo 2'!$R$7)))/('Progetto a Taglio'!$A$3*'Calcolo 2'!$B$2),0),((('Calcolo 2'!$U$5+'Calcolo 2'!$T$7)*'Calcolo 2'!$D$2*SIN('Calcolo 2'!$L$2)*(' Dati 2'!$H13+_xlfn.COT('Calcolo 2'!$L$2)))/('Calcolo 2'!$T$5+'Calcolo 2'!$U$7))/('Progetto a Taglio'!$A$3*'Calcolo 2'!$B$2))</f>
        <v>0.10832547835558089</v>
      </c>
      <c r="K13">
        <f t="shared" si="1"/>
        <v>0.10832547835558089</v>
      </c>
      <c r="Q13">
        <f>C2</f>
        <v>1.9015044805602614</v>
      </c>
      <c r="R13" s="135">
        <f>'Calcolo 2'!E2</f>
        <v>0.2059813824519707</v>
      </c>
      <c r="S13" s="136">
        <f>$R$13*('Calcolo 2'!$B$2*'Calcolo 2'!$A$2*'Progetto a Taglio'!$A$3)</f>
        <v>52000</v>
      </c>
    </row>
    <row r="14" spans="1:19" x14ac:dyDescent="0.25">
      <c r="H14">
        <f t="shared" si="0"/>
        <v>1.0999999999999999</v>
      </c>
      <c r="I14">
        <f>(('Calcolo 2'!$I$2*'Calcolo 2'!$H$2)*((_xlfn.COT('Calcolo 2'!$L$2)+$H14)/(1+($H14^2))))</f>
        <v>0.24886877828054296</v>
      </c>
      <c r="J14">
        <f>IF('Calcolo 2'!$E$2&gt;='Calcolo 2'!$F$2,IF('Calcolo 2'!$E$2&lt;='Calcolo 2'!$G$2,((('Calcolo 2'!$R$5+'Calcolo 2'!$P$7)*'Calcolo 2'!$D$2*SIN('Calcolo 2'!$L$2)*(' Dati 2'!$H14+_xlfn.COT('Calcolo 2'!$L$2)))/(('Calcolo 2'!$Q$5+'Calcolo 2'!$R$7)))/('Progetto a Taglio'!$A$3*'Calcolo 2'!$B$2),0),((('Calcolo 2'!$U$5+'Calcolo 2'!$T$7)*'Calcolo 2'!$D$2*SIN('Calcolo 2'!$L$2)*(' Dati 2'!$H14+_xlfn.COT('Calcolo 2'!$L$2)))/('Calcolo 2'!$T$5+'Calcolo 2'!$U$7))/('Progetto a Taglio'!$A$3*'Calcolo 2'!$B$2))</f>
        <v>0.11915802619113897</v>
      </c>
      <c r="K14">
        <f t="shared" si="1"/>
        <v>0.11915802619113897</v>
      </c>
    </row>
    <row r="15" spans="1:19" x14ac:dyDescent="0.25">
      <c r="H15">
        <f t="shared" si="0"/>
        <v>1.2</v>
      </c>
      <c r="I15">
        <f>(('Calcolo 2'!$I$2*'Calcolo 2'!$H$2)*((_xlfn.COT('Calcolo 2'!$L$2)+$H15)/(1+($H15^2))))</f>
        <v>0.24590163934426229</v>
      </c>
      <c r="J15">
        <f>IF('Calcolo 2'!$E$2&gt;='Calcolo 2'!$F$2,IF('Calcolo 2'!$E$2&lt;='Calcolo 2'!$G$2,((('Calcolo 2'!$R$5+'Calcolo 2'!$P$7)*'Calcolo 2'!$D$2*SIN('Calcolo 2'!$L$2)*(' Dati 2'!$H15+_xlfn.COT('Calcolo 2'!$L$2)))/(('Calcolo 2'!$Q$5+'Calcolo 2'!$R$7)))/('Progetto a Taglio'!$A$3*'Calcolo 2'!$B$2),0),((('Calcolo 2'!$U$5+'Calcolo 2'!$T$7)*'Calcolo 2'!$D$2*SIN('Calcolo 2'!$L$2)*(' Dati 2'!$H15+_xlfn.COT('Calcolo 2'!$L$2)))/('Calcolo 2'!$T$5+'Calcolo 2'!$U$7))/('Progetto a Taglio'!$A$3*'Calcolo 2'!$B$2))</f>
        <v>0.12999057402669706</v>
      </c>
      <c r="K15">
        <f t="shared" si="1"/>
        <v>0.12999057402669706</v>
      </c>
    </row>
    <row r="16" spans="1:19" x14ac:dyDescent="0.25">
      <c r="H16">
        <f t="shared" si="0"/>
        <v>1.3</v>
      </c>
      <c r="I16">
        <f>(('Calcolo 2'!$I$2*'Calcolo 2'!$H$2)*((_xlfn.COT('Calcolo 2'!$L$2)+$H16)/(1+($H16^2))))</f>
        <v>0.24163568773234198</v>
      </c>
      <c r="J16">
        <f>IF('Calcolo 2'!$E$2&gt;='Calcolo 2'!$F$2,IF('Calcolo 2'!$E$2&lt;='Calcolo 2'!$G$2,((('Calcolo 2'!$R$5+'Calcolo 2'!$P$7)*'Calcolo 2'!$D$2*SIN('Calcolo 2'!$L$2)*(' Dati 2'!$H16+_xlfn.COT('Calcolo 2'!$L$2)))/(('Calcolo 2'!$Q$5+'Calcolo 2'!$R$7)))/('Progetto a Taglio'!$A$3*'Calcolo 2'!$B$2),0),((('Calcolo 2'!$U$5+'Calcolo 2'!$T$7)*'Calcolo 2'!$D$2*SIN('Calcolo 2'!$L$2)*(' Dati 2'!$H16+_xlfn.COT('Calcolo 2'!$L$2)))/('Calcolo 2'!$T$5+'Calcolo 2'!$U$7))/('Progetto a Taglio'!$A$3*'Calcolo 2'!$B$2))</f>
        <v>0.14082312186225515</v>
      </c>
      <c r="K16">
        <f t="shared" si="1"/>
        <v>0.14082312186225515</v>
      </c>
    </row>
    <row r="17" spans="8:11" x14ac:dyDescent="0.25">
      <c r="H17">
        <f t="shared" si="0"/>
        <v>1.4000000000000001</v>
      </c>
      <c r="I17">
        <f>(('Calcolo 2'!$I$2*'Calcolo 2'!$H$2)*((_xlfn.COT('Calcolo 2'!$L$2)+$H17)/(1+($H17^2))))</f>
        <v>0.23648648648648649</v>
      </c>
      <c r="J17">
        <f>IF('Calcolo 2'!$E$2&gt;='Calcolo 2'!$F$2,IF('Calcolo 2'!$E$2&lt;='Calcolo 2'!$G$2,((('Calcolo 2'!$R$5+'Calcolo 2'!$P$7)*'Calcolo 2'!$D$2*SIN('Calcolo 2'!$L$2)*(' Dati 2'!$H17+_xlfn.COT('Calcolo 2'!$L$2)))/(('Calcolo 2'!$Q$5+'Calcolo 2'!$R$7)))/('Progetto a Taglio'!$A$3*'Calcolo 2'!$B$2),0),((('Calcolo 2'!$U$5+'Calcolo 2'!$T$7)*'Calcolo 2'!$D$2*SIN('Calcolo 2'!$L$2)*(' Dati 2'!$H17+_xlfn.COT('Calcolo 2'!$L$2)))/('Calcolo 2'!$T$5+'Calcolo 2'!$U$7))/('Progetto a Taglio'!$A$3*'Calcolo 2'!$B$2))</f>
        <v>0.1516556696978133</v>
      </c>
      <c r="K17">
        <f t="shared" si="1"/>
        <v>0.1516556696978133</v>
      </c>
    </row>
    <row r="18" spans="8:11" x14ac:dyDescent="0.25">
      <c r="H18">
        <f t="shared" si="0"/>
        <v>1.5000000000000002</v>
      </c>
      <c r="I18">
        <f>(('Calcolo 2'!$I$2*'Calcolo 2'!$H$2)*((_xlfn.COT('Calcolo 2'!$L$2)+$H18)/(1+($H18^2))))</f>
        <v>0.23076923076923073</v>
      </c>
      <c r="J18">
        <f>IF('Calcolo 2'!$E$2&gt;='Calcolo 2'!$F$2,IF('Calcolo 2'!$E$2&lt;='Calcolo 2'!$G$2,((('Calcolo 2'!$R$5+'Calcolo 2'!$P$7)*'Calcolo 2'!$D$2*SIN('Calcolo 2'!$L$2)*(' Dati 2'!$H18+_xlfn.COT('Calcolo 2'!$L$2)))/(('Calcolo 2'!$Q$5+'Calcolo 2'!$R$7)))/('Progetto a Taglio'!$A$3*'Calcolo 2'!$B$2),0),((('Calcolo 2'!$U$5+'Calcolo 2'!$T$7)*'Calcolo 2'!$D$2*SIN('Calcolo 2'!$L$2)*(' Dati 2'!$H18+_xlfn.COT('Calcolo 2'!$L$2)))/('Calcolo 2'!$T$5+'Calcolo 2'!$U$7))/('Progetto a Taglio'!$A$3*'Calcolo 2'!$B$2))</f>
        <v>0.16248821753337137</v>
      </c>
      <c r="K18">
        <f t="shared" si="1"/>
        <v>0.16248821753337137</v>
      </c>
    </row>
    <row r="19" spans="8:11" x14ac:dyDescent="0.25">
      <c r="H19">
        <f t="shared" si="0"/>
        <v>1.6000000000000003</v>
      </c>
      <c r="I19">
        <f>(('Calcolo 2'!$I$2*'Calcolo 2'!$H$2)*((_xlfn.COT('Calcolo 2'!$L$2)+$H19)/(1+($H19^2))))</f>
        <v>0.2247191011235955</v>
      </c>
      <c r="J19">
        <f>IF('Calcolo 2'!$E$2&gt;='Calcolo 2'!$F$2,IF('Calcolo 2'!$E$2&lt;='Calcolo 2'!$G$2,((('Calcolo 2'!$R$5+'Calcolo 2'!$P$7)*'Calcolo 2'!$D$2*SIN('Calcolo 2'!$L$2)*(' Dati 2'!$H19+_xlfn.COT('Calcolo 2'!$L$2)))/(('Calcolo 2'!$Q$5+'Calcolo 2'!$R$7)))/('Progetto a Taglio'!$A$3*'Calcolo 2'!$B$2),0),((('Calcolo 2'!$U$5+'Calcolo 2'!$T$7)*'Calcolo 2'!$D$2*SIN('Calcolo 2'!$L$2)*(' Dati 2'!$H19+_xlfn.COT('Calcolo 2'!$L$2)))/('Calcolo 2'!$T$5+'Calcolo 2'!$U$7))/('Progetto a Taglio'!$A$3*'Calcolo 2'!$B$2))</f>
        <v>0.17332076536892946</v>
      </c>
      <c r="K19">
        <f t="shared" si="1"/>
        <v>0.17332076536892946</v>
      </c>
    </row>
    <row r="20" spans="8:11" x14ac:dyDescent="0.25">
      <c r="H20">
        <f t="shared" si="0"/>
        <v>1.7000000000000004</v>
      </c>
      <c r="I20">
        <f>(('Calcolo 2'!$I$2*'Calcolo 2'!$H$2)*((_xlfn.COT('Calcolo 2'!$L$2)+$H20)/(1+($H20^2))))</f>
        <v>0.21850899742930588</v>
      </c>
      <c r="J20">
        <f>IF('Calcolo 2'!$E$2&gt;='Calcolo 2'!$F$2,IF('Calcolo 2'!$E$2&lt;='Calcolo 2'!$G$2,((('Calcolo 2'!$R$5+'Calcolo 2'!$P$7)*'Calcolo 2'!$D$2*SIN('Calcolo 2'!$L$2)*(' Dati 2'!$H20+_xlfn.COT('Calcolo 2'!$L$2)))/(('Calcolo 2'!$Q$5+'Calcolo 2'!$R$7)))/('Progetto a Taglio'!$A$3*'Calcolo 2'!$B$2),0),((('Calcolo 2'!$U$5+'Calcolo 2'!$T$7)*'Calcolo 2'!$D$2*SIN('Calcolo 2'!$L$2)*(' Dati 2'!$H20+_xlfn.COT('Calcolo 2'!$L$2)))/('Calcolo 2'!$T$5+'Calcolo 2'!$U$7))/('Progetto a Taglio'!$A$3*'Calcolo 2'!$B$2))</f>
        <v>0.18415331320448755</v>
      </c>
      <c r="K20">
        <f t="shared" si="1"/>
        <v>0.18415331320448755</v>
      </c>
    </row>
    <row r="21" spans="8:11" x14ac:dyDescent="0.25">
      <c r="H21">
        <f t="shared" si="0"/>
        <v>1.8000000000000005</v>
      </c>
      <c r="I21">
        <f>(('Calcolo 2'!$I$2*'Calcolo 2'!$H$2)*((_xlfn.COT('Calcolo 2'!$L$2)+$H21)/(1+($H21^2))))</f>
        <v>0.21226415094339618</v>
      </c>
      <c r="J21">
        <f>IF('Calcolo 2'!$E$2&gt;='Calcolo 2'!$F$2,IF('Calcolo 2'!$E$2&lt;='Calcolo 2'!$G$2,((('Calcolo 2'!$R$5+'Calcolo 2'!$P$7)*'Calcolo 2'!$D$2*SIN('Calcolo 2'!$L$2)*(' Dati 2'!$H21+_xlfn.COT('Calcolo 2'!$L$2)))/(('Calcolo 2'!$Q$5+'Calcolo 2'!$R$7)))/('Progetto a Taglio'!$A$3*'Calcolo 2'!$B$2),0),((('Calcolo 2'!$U$5+'Calcolo 2'!$T$7)*'Calcolo 2'!$D$2*SIN('Calcolo 2'!$L$2)*(' Dati 2'!$H21+_xlfn.COT('Calcolo 2'!$L$2)))/('Calcolo 2'!$T$5+'Calcolo 2'!$U$7))/('Progetto a Taglio'!$A$3*'Calcolo 2'!$B$2))</f>
        <v>0.19498586104004567</v>
      </c>
      <c r="K21">
        <f t="shared" si="1"/>
        <v>0.19498586104004567</v>
      </c>
    </row>
    <row r="22" spans="8:11" x14ac:dyDescent="0.25">
      <c r="H22">
        <f t="shared" si="0"/>
        <v>1.9000000000000006</v>
      </c>
      <c r="I22">
        <f>(('Calcolo 2'!$I$2*'Calcolo 2'!$H$2)*((_xlfn.COT('Calcolo 2'!$L$2)+$H22)/(1+($H22^2))))</f>
        <v>0.20607375271149672</v>
      </c>
      <c r="J22">
        <f>IF('Calcolo 2'!$E$2&gt;='Calcolo 2'!$F$2,IF('Calcolo 2'!$E$2&lt;='Calcolo 2'!$G$2,((('Calcolo 2'!$R$5+'Calcolo 2'!$P$7)*'Calcolo 2'!$D$2*SIN('Calcolo 2'!$L$2)*(' Dati 2'!$H22+_xlfn.COT('Calcolo 2'!$L$2)))/(('Calcolo 2'!$Q$5+'Calcolo 2'!$R$7)))/('Progetto a Taglio'!$A$3*'Calcolo 2'!$B$2),0),((('Calcolo 2'!$U$5+'Calcolo 2'!$T$7)*'Calcolo 2'!$D$2*SIN('Calcolo 2'!$L$2)*(' Dati 2'!$H22+_xlfn.COT('Calcolo 2'!$L$2)))/('Calcolo 2'!$T$5+'Calcolo 2'!$U$7))/('Progetto a Taglio'!$A$3*'Calcolo 2'!$B$2))</f>
        <v>0.20581840887560376</v>
      </c>
      <c r="K22">
        <f t="shared" si="1"/>
        <v>0.20581840887560376</v>
      </c>
    </row>
    <row r="23" spans="8:11" x14ac:dyDescent="0.25">
      <c r="H23">
        <f t="shared" si="0"/>
        <v>2.0000000000000004</v>
      </c>
      <c r="I23">
        <f>(('Calcolo 2'!$I$2*'Calcolo 2'!$H$2)*((_xlfn.COT('Calcolo 2'!$L$2)+$H23)/(1+($H23^2))))</f>
        <v>0.19999999999999998</v>
      </c>
      <c r="J23">
        <f>IF('Calcolo 2'!$E$2&gt;='Calcolo 2'!$F$2,IF('Calcolo 2'!$E$2&lt;='Calcolo 2'!$G$2,((('Calcolo 2'!$R$5+'Calcolo 2'!$P$7)*'Calcolo 2'!$D$2*SIN('Calcolo 2'!$L$2)*(' Dati 2'!$H23+_xlfn.COT('Calcolo 2'!$L$2)))/(('Calcolo 2'!$Q$5+'Calcolo 2'!$R$7)))/('Progetto a Taglio'!$A$3*'Calcolo 2'!$B$2),0),((('Calcolo 2'!$U$5+'Calcolo 2'!$T$7)*'Calcolo 2'!$D$2*SIN('Calcolo 2'!$L$2)*(' Dati 2'!$H23+_xlfn.COT('Calcolo 2'!$L$2)))/('Calcolo 2'!$T$5+'Calcolo 2'!$U$7))/('Progetto a Taglio'!$A$3*'Calcolo 2'!$B$2))</f>
        <v>0.21665095671116183</v>
      </c>
      <c r="K23">
        <f t="shared" si="1"/>
        <v>0.19999999999999998</v>
      </c>
    </row>
    <row r="24" spans="8:11" x14ac:dyDescent="0.25">
      <c r="H24">
        <f t="shared" si="0"/>
        <v>2.1000000000000005</v>
      </c>
      <c r="I24">
        <f>(('Calcolo 2'!$I$2*'Calcolo 2'!$H$2)*((_xlfn.COT('Calcolo 2'!$L$2)+$H24)/(1+($H24^2))))</f>
        <v>0.19408502772643252</v>
      </c>
      <c r="J24">
        <f>IF('Calcolo 2'!$E$2&gt;='Calcolo 2'!$F$2,IF('Calcolo 2'!$E$2&lt;='Calcolo 2'!$G$2,((('Calcolo 2'!$R$5+'Calcolo 2'!$P$7)*'Calcolo 2'!$D$2*SIN('Calcolo 2'!$L$2)*(' Dati 2'!$H24+_xlfn.COT('Calcolo 2'!$L$2)))/(('Calcolo 2'!$Q$5+'Calcolo 2'!$R$7)))/('Progetto a Taglio'!$A$3*'Calcolo 2'!$B$2),0),((('Calcolo 2'!$U$5+'Calcolo 2'!$T$7)*'Calcolo 2'!$D$2*SIN('Calcolo 2'!$L$2)*(' Dati 2'!$H24+_xlfn.COT('Calcolo 2'!$L$2)))/('Calcolo 2'!$T$5+'Calcolo 2'!$U$7))/('Progetto a Taglio'!$A$3*'Calcolo 2'!$B$2))</f>
        <v>0.22748350454671992</v>
      </c>
      <c r="K24">
        <f t="shared" si="1"/>
        <v>0.19408502772643252</v>
      </c>
    </row>
    <row r="25" spans="8:11" x14ac:dyDescent="0.25">
      <c r="H25">
        <f t="shared" si="0"/>
        <v>2.2000000000000006</v>
      </c>
      <c r="I25">
        <f>(('Calcolo 2'!$I$2*'Calcolo 2'!$H$2)*((_xlfn.COT('Calcolo 2'!$L$2)+$H25)/(1+($H25^2))))</f>
        <v>0.18835616438356162</v>
      </c>
      <c r="J25">
        <f>IF('Calcolo 2'!$E$2&gt;='Calcolo 2'!$F$2,IF('Calcolo 2'!$E$2&lt;='Calcolo 2'!$G$2,((('Calcolo 2'!$R$5+'Calcolo 2'!$P$7)*'Calcolo 2'!$D$2*SIN('Calcolo 2'!$L$2)*(' Dati 2'!$H25+_xlfn.COT('Calcolo 2'!$L$2)))/(('Calcolo 2'!$Q$5+'Calcolo 2'!$R$7)))/('Progetto a Taglio'!$A$3*'Calcolo 2'!$B$2),0),((('Calcolo 2'!$U$5+'Calcolo 2'!$T$7)*'Calcolo 2'!$D$2*SIN('Calcolo 2'!$L$2)*(' Dati 2'!$H25+_xlfn.COT('Calcolo 2'!$L$2)))/('Calcolo 2'!$T$5+'Calcolo 2'!$U$7))/('Progetto a Taglio'!$A$3*'Calcolo 2'!$B$2))</f>
        <v>0.23831605238227804</v>
      </c>
      <c r="K25">
        <f t="shared" si="1"/>
        <v>0.18835616438356162</v>
      </c>
    </row>
    <row r="26" spans="8:11" x14ac:dyDescent="0.25">
      <c r="H26">
        <f t="shared" si="0"/>
        <v>2.3000000000000007</v>
      </c>
      <c r="I26">
        <f>(('Calcolo 2'!$I$2*'Calcolo 2'!$H$2)*((_xlfn.COT('Calcolo 2'!$L$2)+$H26)/(1+($H26^2))))</f>
        <v>0.18282988871224159</v>
      </c>
      <c r="J26">
        <f>IF('Calcolo 2'!$E$2&gt;='Calcolo 2'!$F$2,IF('Calcolo 2'!$E$2&lt;='Calcolo 2'!$G$2,((('Calcolo 2'!$R$5+'Calcolo 2'!$P$7)*'Calcolo 2'!$D$2*SIN('Calcolo 2'!$L$2)*(' Dati 2'!$H26+_xlfn.COT('Calcolo 2'!$L$2)))/(('Calcolo 2'!$Q$5+'Calcolo 2'!$R$7)))/('Progetto a Taglio'!$A$3*'Calcolo 2'!$B$2),0),((('Calcolo 2'!$U$5+'Calcolo 2'!$T$7)*'Calcolo 2'!$D$2*SIN('Calcolo 2'!$L$2)*(' Dati 2'!$H26+_xlfn.COT('Calcolo 2'!$L$2)))/('Calcolo 2'!$T$5+'Calcolo 2'!$U$7))/('Progetto a Taglio'!$A$3*'Calcolo 2'!$B$2))</f>
        <v>0.24914860021783614</v>
      </c>
      <c r="K26">
        <f t="shared" si="1"/>
        <v>0.18282988871224159</v>
      </c>
    </row>
    <row r="27" spans="8:11" x14ac:dyDescent="0.25">
      <c r="H27">
        <f t="shared" si="0"/>
        <v>2.4000000000000008</v>
      </c>
      <c r="I27">
        <f>(('Calcolo 2'!$I$2*'Calcolo 2'!$H$2)*((_xlfn.COT('Calcolo 2'!$L$2)+$H27)/(1+($H27^2))))</f>
        <v>0.17751479289940822</v>
      </c>
      <c r="J27">
        <f>IF('Calcolo 2'!$E$2&gt;='Calcolo 2'!$F$2,IF('Calcolo 2'!$E$2&lt;='Calcolo 2'!$G$2,((('Calcolo 2'!$R$5+'Calcolo 2'!$P$7)*'Calcolo 2'!$D$2*SIN('Calcolo 2'!$L$2)*(' Dati 2'!$H27+_xlfn.COT('Calcolo 2'!$L$2)))/(('Calcolo 2'!$Q$5+'Calcolo 2'!$R$7)))/('Progetto a Taglio'!$A$3*'Calcolo 2'!$B$2),0),((('Calcolo 2'!$U$5+'Calcolo 2'!$T$7)*'Calcolo 2'!$D$2*SIN('Calcolo 2'!$L$2)*(' Dati 2'!$H27+_xlfn.COT('Calcolo 2'!$L$2)))/('Calcolo 2'!$T$5+'Calcolo 2'!$U$7))/('Progetto a Taglio'!$A$3*'Calcolo 2'!$B$2))</f>
        <v>0.25998114805339423</v>
      </c>
      <c r="K27">
        <f t="shared" si="1"/>
        <v>0.17751479289940822</v>
      </c>
    </row>
    <row r="28" spans="8:11" x14ac:dyDescent="0.25">
      <c r="H28">
        <f t="shared" si="0"/>
        <v>2.5000000000000009</v>
      </c>
      <c r="I28">
        <f>(('Calcolo 2'!$I$2*'Calcolo 2'!$H$2)*((_xlfn.COT('Calcolo 2'!$L$2)+$H28)/(1+($H28^2))))</f>
        <v>0.17241379310344823</v>
      </c>
      <c r="J28">
        <f>IF('Calcolo 2'!$E$2&gt;='Calcolo 2'!$F$2,IF('Calcolo 2'!$E$2&lt;='Calcolo 2'!$G$2,((('Calcolo 2'!$R$5+'Calcolo 2'!$P$7)*'Calcolo 2'!$D$2*SIN('Calcolo 2'!$L$2)*(' Dati 2'!$H28+_xlfn.COT('Calcolo 2'!$L$2)))/(('Calcolo 2'!$Q$5+'Calcolo 2'!$R$7)))/('Progetto a Taglio'!$A$3*'Calcolo 2'!$B$2),0),((('Calcolo 2'!$U$5+'Calcolo 2'!$T$7)*'Calcolo 2'!$D$2*SIN('Calcolo 2'!$L$2)*(' Dati 2'!$H28+_xlfn.COT('Calcolo 2'!$L$2)))/('Calcolo 2'!$T$5+'Calcolo 2'!$U$7))/('Progetto a Taglio'!$A$3*'Calcolo 2'!$B$2))</f>
        <v>0.27081369588895238</v>
      </c>
      <c r="K28">
        <f t="shared" si="1"/>
        <v>0.17241379310344823</v>
      </c>
    </row>
    <row r="29" spans="8:11" x14ac:dyDescent="0.25">
      <c r="H29">
        <f t="shared" si="0"/>
        <v>2.600000000000001</v>
      </c>
      <c r="I29">
        <f>(('Calcolo 2'!$I$2*'Calcolo 2'!$H$2)*((_xlfn.COT('Calcolo 2'!$L$2)+$H29)/(1+($H29^2))))</f>
        <v>0.16752577319587625</v>
      </c>
      <c r="J29">
        <f>IF('Calcolo 2'!$E$2&gt;='Calcolo 2'!$F$2,IF('Calcolo 2'!$E$2&lt;='Calcolo 2'!$G$2,((('Calcolo 2'!$R$5+'Calcolo 2'!$P$7)*'Calcolo 2'!$D$2*SIN('Calcolo 2'!$L$2)*(' Dati 2'!$H29+_xlfn.COT('Calcolo 2'!$L$2)))/(('Calcolo 2'!$Q$5+'Calcolo 2'!$R$7)))/('Progetto a Taglio'!$A$3*'Calcolo 2'!$B$2),0),((('Calcolo 2'!$U$5+'Calcolo 2'!$T$7)*'Calcolo 2'!$D$2*SIN('Calcolo 2'!$L$2)*(' Dati 2'!$H29+_xlfn.COT('Calcolo 2'!$L$2)))/('Calcolo 2'!$T$5+'Calcolo 2'!$U$7))/('Progetto a Taglio'!$A$3*'Calcolo 2'!$B$2))</f>
        <v>0.28164624372451041</v>
      </c>
      <c r="K29">
        <f t="shared" si="1"/>
        <v>0.16752577319587625</v>
      </c>
    </row>
    <row r="30" spans="8:11" x14ac:dyDescent="0.25">
      <c r="H30">
        <f t="shared" si="0"/>
        <v>2.7000000000000011</v>
      </c>
      <c r="I30">
        <f>(('Calcolo 2'!$I$2*'Calcolo 2'!$H$2)*((_xlfn.COT('Calcolo 2'!$L$2)+$H30)/(1+($H30^2))))</f>
        <v>0.16284680337756327</v>
      </c>
      <c r="J30">
        <f>IF('Calcolo 2'!$E$2&gt;='Calcolo 2'!$F$2,IF('Calcolo 2'!$E$2&lt;='Calcolo 2'!$G$2,((('Calcolo 2'!$R$5+'Calcolo 2'!$P$7)*'Calcolo 2'!$D$2*SIN('Calcolo 2'!$L$2)*(' Dati 2'!$H30+_xlfn.COT('Calcolo 2'!$L$2)))/(('Calcolo 2'!$Q$5+'Calcolo 2'!$R$7)))/('Progetto a Taglio'!$A$3*'Calcolo 2'!$B$2),0),((('Calcolo 2'!$U$5+'Calcolo 2'!$T$7)*'Calcolo 2'!$D$2*SIN('Calcolo 2'!$L$2)*(' Dati 2'!$H30+_xlfn.COT('Calcolo 2'!$L$2)))/('Calcolo 2'!$T$5+'Calcolo 2'!$U$7))/('Progetto a Taglio'!$A$3*'Calcolo 2'!$B$2))</f>
        <v>0.29247879156006851</v>
      </c>
      <c r="K30">
        <f t="shared" si="1"/>
        <v>0.16284680337756327</v>
      </c>
    </row>
    <row r="31" spans="8:11" x14ac:dyDescent="0.25">
      <c r="H31">
        <f t="shared" si="0"/>
        <v>2.8000000000000012</v>
      </c>
      <c r="I31">
        <f>(('Calcolo 2'!$I$2*'Calcolo 2'!$H$2)*((_xlfn.COT('Calcolo 2'!$L$2)+$H31)/(1+($H31^2))))</f>
        <v>0.15837104072398184</v>
      </c>
      <c r="J31">
        <f>IF('Calcolo 2'!$E$2&gt;='Calcolo 2'!$F$2,IF('Calcolo 2'!$E$2&lt;='Calcolo 2'!$G$2,((('Calcolo 2'!$R$5+'Calcolo 2'!$P$7)*'Calcolo 2'!$D$2*SIN('Calcolo 2'!$L$2)*(' Dati 2'!$H31+_xlfn.COT('Calcolo 2'!$L$2)))/(('Calcolo 2'!$Q$5+'Calcolo 2'!$R$7)))/('Progetto a Taglio'!$A$3*'Calcolo 2'!$B$2),0),((('Calcolo 2'!$U$5+'Calcolo 2'!$T$7)*'Calcolo 2'!$D$2*SIN('Calcolo 2'!$L$2)*(' Dati 2'!$H31+_xlfn.COT('Calcolo 2'!$L$2)))/('Calcolo 2'!$T$5+'Calcolo 2'!$U$7))/('Progetto a Taglio'!$A$3*'Calcolo 2'!$B$2))</f>
        <v>0.30331133939562666</v>
      </c>
      <c r="K31">
        <f t="shared" si="1"/>
        <v>0.15837104072398184</v>
      </c>
    </row>
    <row r="32" spans="8:11" x14ac:dyDescent="0.25">
      <c r="H32">
        <f t="shared" si="0"/>
        <v>2.9000000000000012</v>
      </c>
      <c r="I32">
        <f>(('Calcolo 2'!$I$2*'Calcolo 2'!$H$2)*((_xlfn.COT('Calcolo 2'!$L$2)+$H32)/(1+($H32^2))))</f>
        <v>0.15409139213602546</v>
      </c>
      <c r="J32">
        <f>IF('Calcolo 2'!$E$2&gt;='Calcolo 2'!$F$2,IF('Calcolo 2'!$E$2&lt;='Calcolo 2'!$G$2,((('Calcolo 2'!$R$5+'Calcolo 2'!$P$7)*'Calcolo 2'!$D$2*SIN('Calcolo 2'!$L$2)*(' Dati 2'!$H32+_xlfn.COT('Calcolo 2'!$L$2)))/(('Calcolo 2'!$Q$5+'Calcolo 2'!$R$7)))/('Progetto a Taglio'!$A$3*'Calcolo 2'!$B$2),0),((('Calcolo 2'!$U$5+'Calcolo 2'!$T$7)*'Calcolo 2'!$D$2*SIN('Calcolo 2'!$L$2)*(' Dati 2'!$H32+_xlfn.COT('Calcolo 2'!$L$2)))/('Calcolo 2'!$T$5+'Calcolo 2'!$U$7))/('Progetto a Taglio'!$A$3*'Calcolo 2'!$B$2))</f>
        <v>0.31414388723118475</v>
      </c>
      <c r="K32">
        <f t="shared" si="1"/>
        <v>0.15409139213602546</v>
      </c>
    </row>
    <row r="33" spans="8:11" x14ac:dyDescent="0.25">
      <c r="H33">
        <f>IF($H32+0.1&lt;=3.5,$H32+0.1,3.5)</f>
        <v>3.0000000000000013</v>
      </c>
      <c r="I33">
        <f>(('Calcolo 2'!$I$2*'Calcolo 2'!$H$2)*((_xlfn.COT('Calcolo 2'!$L$2)+$H33)/(1+($H33^2))))</f>
        <v>0.14999999999999997</v>
      </c>
      <c r="J33">
        <f>IF('Calcolo 2'!$E$2&gt;='Calcolo 2'!$F$2,IF('Calcolo 2'!$E$2&lt;='Calcolo 2'!$G$2,((('Calcolo 2'!$R$5+'Calcolo 2'!$P$7)*'Calcolo 2'!$D$2*SIN('Calcolo 2'!$L$2)*(' Dati 2'!$H33+_xlfn.COT('Calcolo 2'!$L$2)))/(('Calcolo 2'!$Q$5+'Calcolo 2'!$R$7)))/('Progetto a Taglio'!$A$3*'Calcolo 2'!$B$2),0),((('Calcolo 2'!$U$5+'Calcolo 2'!$T$7)*'Calcolo 2'!$D$2*SIN('Calcolo 2'!$L$2)*(' Dati 2'!$H33+_xlfn.COT('Calcolo 2'!$L$2)))/('Calcolo 2'!$T$5+'Calcolo 2'!$U$7))/('Progetto a Taglio'!$A$3*'Calcolo 2'!$B$2))</f>
        <v>0.32497643506674284</v>
      </c>
      <c r="K33">
        <f t="shared" si="1"/>
        <v>0.14999999999999997</v>
      </c>
    </row>
    <row r="34" spans="8:11" x14ac:dyDescent="0.25">
      <c r="H34">
        <f t="shared" ref="H34:H39" si="2">IF($H33+0.1&lt;=3.5,$H33+0.1,3.5)</f>
        <v>3.1000000000000014</v>
      </c>
      <c r="I34">
        <f>(('Calcolo 2'!$I$2*'Calcolo 2'!$H$2)*((_xlfn.COT('Calcolo 2'!$L$2)+$H34)/(1+($H34^2))))</f>
        <v>0.14608859566446744</v>
      </c>
      <c r="J34">
        <f>IF('Calcolo 2'!$E$2&gt;='Calcolo 2'!$F$2,IF('Calcolo 2'!$E$2&lt;='Calcolo 2'!$G$2,((('Calcolo 2'!$R$5+'Calcolo 2'!$P$7)*'Calcolo 2'!$D$2*SIN('Calcolo 2'!$L$2)*(' Dati 2'!$H34+_xlfn.COT('Calcolo 2'!$L$2)))/(('Calcolo 2'!$Q$5+'Calcolo 2'!$R$7)))/('Progetto a Taglio'!$A$3*'Calcolo 2'!$B$2),0),((('Calcolo 2'!$U$5+'Calcolo 2'!$T$7)*'Calcolo 2'!$D$2*SIN('Calcolo 2'!$L$2)*(' Dati 2'!$H34+_xlfn.COT('Calcolo 2'!$L$2)))/('Calcolo 2'!$T$5+'Calcolo 2'!$U$7))/('Progetto a Taglio'!$A$3*'Calcolo 2'!$B$2))</f>
        <v>0.33580898290230093</v>
      </c>
      <c r="K34">
        <f t="shared" si="1"/>
        <v>0.14608859566446744</v>
      </c>
    </row>
    <row r="35" spans="8:11" x14ac:dyDescent="0.25">
      <c r="H35">
        <f t="shared" si="2"/>
        <v>3.2000000000000015</v>
      </c>
      <c r="I35">
        <f>(('Calcolo 2'!$I$2*'Calcolo 2'!$H$2)*((_xlfn.COT('Calcolo 2'!$L$2)+$H35)/(1+($H35^2))))</f>
        <v>0.14234875444839853</v>
      </c>
      <c r="J35">
        <f>IF('Calcolo 2'!$E$2&gt;='Calcolo 2'!$F$2,IF('Calcolo 2'!$E$2&lt;='Calcolo 2'!$G$2,((('Calcolo 2'!$R$5+'Calcolo 2'!$P$7)*'Calcolo 2'!$D$2*SIN('Calcolo 2'!$L$2)*(' Dati 2'!$H35+_xlfn.COT('Calcolo 2'!$L$2)))/(('Calcolo 2'!$Q$5+'Calcolo 2'!$R$7)))/('Progetto a Taglio'!$A$3*'Calcolo 2'!$B$2),0),((('Calcolo 2'!$U$5+'Calcolo 2'!$T$7)*'Calcolo 2'!$D$2*SIN('Calcolo 2'!$L$2)*(' Dati 2'!$H35+_xlfn.COT('Calcolo 2'!$L$2)))/('Calcolo 2'!$T$5+'Calcolo 2'!$U$7))/('Progetto a Taglio'!$A$3*'Calcolo 2'!$B$2))</f>
        <v>0.34664153073785903</v>
      </c>
      <c r="K35">
        <f t="shared" si="1"/>
        <v>0.14234875444839853</v>
      </c>
    </row>
    <row r="36" spans="8:11" x14ac:dyDescent="0.25">
      <c r="H36">
        <f t="shared" si="2"/>
        <v>3.3000000000000016</v>
      </c>
      <c r="I36">
        <f>(('Calcolo 2'!$I$2*'Calcolo 2'!$H$2)*((_xlfn.COT('Calcolo 2'!$L$2)+$H36)/(1+($H36^2))))</f>
        <v>0.1387720773759461</v>
      </c>
      <c r="J36">
        <f>IF('Calcolo 2'!$E$2&gt;='Calcolo 2'!$F$2,IF('Calcolo 2'!$E$2&lt;='Calcolo 2'!$G$2,((('Calcolo 2'!$R$5+'Calcolo 2'!$P$7)*'Calcolo 2'!$D$2*SIN('Calcolo 2'!$L$2)*(' Dati 2'!$H36+_xlfn.COT('Calcolo 2'!$L$2)))/(('Calcolo 2'!$Q$5+'Calcolo 2'!$R$7)))/('Progetto a Taglio'!$A$3*'Calcolo 2'!$B$2),0),((('Calcolo 2'!$U$5+'Calcolo 2'!$T$7)*'Calcolo 2'!$D$2*SIN('Calcolo 2'!$L$2)*(' Dati 2'!$H36+_xlfn.COT('Calcolo 2'!$L$2)))/('Calcolo 2'!$T$5+'Calcolo 2'!$U$7))/('Progetto a Taglio'!$A$3*'Calcolo 2'!$B$2))</f>
        <v>0.35747407857341712</v>
      </c>
      <c r="K36">
        <f t="shared" si="1"/>
        <v>0.1387720773759461</v>
      </c>
    </row>
    <row r="37" spans="8:11" x14ac:dyDescent="0.25">
      <c r="H37">
        <f t="shared" si="2"/>
        <v>3.4000000000000017</v>
      </c>
      <c r="I37">
        <f>(('Calcolo 2'!$I$2*'Calcolo 2'!$H$2)*((_xlfn.COT('Calcolo 2'!$L$2)+$H37)/(1+($H37^2))))</f>
        <v>0.13535031847133752</v>
      </c>
      <c r="J37">
        <f>IF('Calcolo 2'!$E$2&gt;='Calcolo 2'!$F$2,IF('Calcolo 2'!$E$2&lt;='Calcolo 2'!$G$2,((('Calcolo 2'!$R$5+'Calcolo 2'!$P$7)*'Calcolo 2'!$D$2*SIN('Calcolo 2'!$L$2)*(' Dati 2'!$H37+_xlfn.COT('Calcolo 2'!$L$2)))/(('Calcolo 2'!$Q$5+'Calcolo 2'!$R$7)))/('Progetto a Taglio'!$A$3*'Calcolo 2'!$B$2),0),((('Calcolo 2'!$U$5+'Calcolo 2'!$T$7)*'Calcolo 2'!$D$2*SIN('Calcolo 2'!$L$2)*(' Dati 2'!$H37+_xlfn.COT('Calcolo 2'!$L$2)))/('Calcolo 2'!$T$5+'Calcolo 2'!$U$7))/('Progetto a Taglio'!$A$3*'Calcolo 2'!$B$2))</f>
        <v>0.36830662640897521</v>
      </c>
      <c r="K37">
        <f t="shared" si="1"/>
        <v>0.13535031847133752</v>
      </c>
    </row>
    <row r="38" spans="8:11" x14ac:dyDescent="0.25">
      <c r="H38">
        <f t="shared" si="2"/>
        <v>3.5000000000000018</v>
      </c>
      <c r="I38">
        <f>(('Calcolo 2'!$I$2*'Calcolo 2'!$H$2)*((_xlfn.COT('Calcolo 2'!$L$2)+$H38)/(1+($H38^2))))</f>
        <v>0.13207547169811315</v>
      </c>
      <c r="J38">
        <f>IF('Calcolo 2'!$E$2&gt;='Calcolo 2'!$F$2,IF('Calcolo 2'!$E$2&lt;='Calcolo 2'!$G$2,((('Calcolo 2'!$R$5+'Calcolo 2'!$P$7)*'Calcolo 2'!$D$2*SIN('Calcolo 2'!$L$2)*(' Dati 2'!$H38+_xlfn.COT('Calcolo 2'!$L$2)))/(('Calcolo 2'!$Q$5+'Calcolo 2'!$R$7)))/('Progetto a Taglio'!$A$3*'Calcolo 2'!$B$2),0),((('Calcolo 2'!$U$5+'Calcolo 2'!$T$7)*'Calcolo 2'!$D$2*SIN('Calcolo 2'!$L$2)*(' Dati 2'!$H38+_xlfn.COT('Calcolo 2'!$L$2)))/('Calcolo 2'!$T$5+'Calcolo 2'!$U$7))/('Progetto a Taglio'!$A$3*'Calcolo 2'!$B$2))</f>
        <v>0.37913917424453336</v>
      </c>
      <c r="K38">
        <f t="shared" si="1"/>
        <v>0.13207547169811315</v>
      </c>
    </row>
    <row r="39" spans="8:11" x14ac:dyDescent="0.25">
      <c r="H39">
        <f t="shared" si="2"/>
        <v>3.5</v>
      </c>
      <c r="I39">
        <f>(('Calcolo 2'!$I$2*'Calcolo 2'!$H$2)*((_xlfn.COT('Calcolo 2'!$L$2)+$H39)/(1+($H39^2))))</f>
        <v>0.13207547169811321</v>
      </c>
      <c r="J39">
        <f>IF('Calcolo 2'!$E$2&gt;='Calcolo 2'!$F$2,IF('Calcolo 2'!$E$2&lt;='Calcolo 2'!$G$2,((('Calcolo 2'!$R$5+'Calcolo 2'!$P$7)*'Calcolo 2'!$D$2*SIN('Calcolo 2'!$L$2)*(' Dati 2'!$H39+_xlfn.COT('Calcolo 2'!$L$2)))/(('Calcolo 2'!$Q$5+'Calcolo 2'!$R$7)))/('Progetto a Taglio'!$A$3*'Calcolo 2'!$B$2),0),((('Calcolo 2'!$U$5+'Calcolo 2'!$T$7)*'Calcolo 2'!$D$2*SIN('Calcolo 2'!$L$2)*(' Dati 2'!$H39+_xlfn.COT('Calcolo 2'!$L$2)))/('Calcolo 2'!$T$5+'Calcolo 2'!$U$7))/('Progetto a Taglio'!$A$3*'Calcolo 2'!$B$2))</f>
        <v>0.37913917424453314</v>
      </c>
      <c r="K39">
        <f t="shared" si="1"/>
        <v>0.13207547169811321</v>
      </c>
    </row>
    <row r="41" spans="8:11" x14ac:dyDescent="0.25">
      <c r="H41">
        <f>$H3</f>
        <v>0</v>
      </c>
      <c r="I41">
        <f>$I3*('Calcolo 2'!$A$2*'Progetto a Taglio'!A$3*'Calcolo 2'!$B$2)</f>
        <v>7.7322181860420264E-12</v>
      </c>
      <c r="J41">
        <f>$J3*('Calcolo 2'!$A$2*'Progetto a Taglio'!B$3*'Calcolo 2'!$B$2)</f>
        <v>3.9087824241793819E-12</v>
      </c>
      <c r="K41">
        <f>$K3*('Calcolo 2'!$A$2*'Progetto a Taglio'!C$3*'Calcolo 2'!$B$2)</f>
        <v>2.2335899566739324E-13</v>
      </c>
    </row>
    <row r="42" spans="8:11" x14ac:dyDescent="0.25">
      <c r="H42">
        <f t="shared" ref="H42:H77" si="3">$H4</f>
        <v>0.1</v>
      </c>
      <c r="I42">
        <f>$I4*('Calcolo 2'!$A$2*'Progetto a Taglio'!A$3*'Calcolo 2'!$B$2)</f>
        <v>12497.524752475254</v>
      </c>
      <c r="J42">
        <f>$J4*('Calcolo 2'!$A$2*'Progetto a Taglio'!B$3*'Calcolo 2'!$B$2)</f>
        <v>6380.9123025354966</v>
      </c>
      <c r="K42">
        <f>$K4*('Calcolo 2'!$A$2*'Progetto a Taglio'!C$3*'Calcolo 2'!$B$2)</f>
        <v>364.62356014488552</v>
      </c>
    </row>
    <row r="43" spans="8:11" x14ac:dyDescent="0.25">
      <c r="H43">
        <f t="shared" si="3"/>
        <v>0.2</v>
      </c>
      <c r="I43">
        <f>$I5*('Calcolo 2'!$A$2*'Progetto a Taglio'!A$3*'Calcolo 2'!$B$2)</f>
        <v>24274.038461538468</v>
      </c>
      <c r="J43">
        <f>$J5*('Calcolo 2'!$A$2*'Progetto a Taglio'!B$3*'Calcolo 2'!$B$2)</f>
        <v>12761.824605070989</v>
      </c>
      <c r="K43">
        <f>$K5*('Calcolo 2'!$A$2*'Progetto a Taglio'!C$3*'Calcolo 2'!$B$2)</f>
        <v>729.24712028977081</v>
      </c>
    </row>
    <row r="44" spans="8:11" x14ac:dyDescent="0.25">
      <c r="H44">
        <f t="shared" si="3"/>
        <v>0.30000000000000004</v>
      </c>
      <c r="I44">
        <f>$I6*('Calcolo 2'!$A$2*'Progetto a Taglio'!A$3*'Calcolo 2'!$B$2)</f>
        <v>34740.825688073397</v>
      </c>
      <c r="J44">
        <f>$J6*('Calcolo 2'!$A$2*'Progetto a Taglio'!B$3*'Calcolo 2'!$B$2)</f>
        <v>19142.736907606482</v>
      </c>
      <c r="K44">
        <f>$K6*('Calcolo 2'!$A$2*'Progetto a Taglio'!C$3*'Calcolo 2'!$B$2)</f>
        <v>1093.8706804346562</v>
      </c>
    </row>
    <row r="45" spans="8:11" x14ac:dyDescent="0.25">
      <c r="H45">
        <f t="shared" si="3"/>
        <v>0.4</v>
      </c>
      <c r="I45">
        <f>$I7*('Calcolo 2'!$A$2*'Progetto a Taglio'!A$3*'Calcolo 2'!$B$2)</f>
        <v>43525.862068965514</v>
      </c>
      <c r="J45">
        <f>$J7*('Calcolo 2'!$A$2*'Progetto a Taglio'!B$3*'Calcolo 2'!$B$2)</f>
        <v>25523.649210141975</v>
      </c>
      <c r="K45">
        <f>$K7*('Calcolo 2'!$A$2*'Progetto a Taglio'!C$3*'Calcolo 2'!$B$2)</f>
        <v>1458.4942405795414</v>
      </c>
    </row>
    <row r="46" spans="8:11" x14ac:dyDescent="0.25">
      <c r="H46">
        <f t="shared" si="3"/>
        <v>0.5</v>
      </c>
      <c r="I46">
        <f>$I8*('Calcolo 2'!$A$2*'Progetto a Taglio'!A$3*'Calcolo 2'!$B$2)</f>
        <v>50490.000000000007</v>
      </c>
      <c r="J46">
        <f>$J8*('Calcolo 2'!$A$2*'Progetto a Taglio'!B$3*'Calcolo 2'!$B$2)</f>
        <v>31904.561512677468</v>
      </c>
      <c r="K46">
        <f>$K8*('Calcolo 2'!$A$2*'Progetto a Taglio'!C$3*'Calcolo 2'!$B$2)</f>
        <v>1823.1178007244268</v>
      </c>
    </row>
    <row r="47" spans="8:11" x14ac:dyDescent="0.25">
      <c r="H47">
        <f t="shared" si="3"/>
        <v>0.6</v>
      </c>
      <c r="I47">
        <f>$I9*('Calcolo 2'!$A$2*'Progetto a Taglio'!A$3*'Calcolo 2'!$B$2)</f>
        <v>55687.500000000007</v>
      </c>
      <c r="J47">
        <f>$J9*('Calcolo 2'!$A$2*'Progetto a Taglio'!B$3*'Calcolo 2'!$B$2)</f>
        <v>38285.473815212958</v>
      </c>
      <c r="K47">
        <f>$K9*('Calcolo 2'!$A$2*'Progetto a Taglio'!C$3*'Calcolo 2'!$B$2)</f>
        <v>2187.7413608693118</v>
      </c>
    </row>
    <row r="48" spans="8:11" x14ac:dyDescent="0.25">
      <c r="H48">
        <f t="shared" si="3"/>
        <v>0.7</v>
      </c>
      <c r="I48">
        <f>$I10*('Calcolo 2'!$A$2*'Progetto a Taglio'!A$3*'Calcolo 2'!$B$2)</f>
        <v>59300.335570469797</v>
      </c>
      <c r="J48">
        <f>$J10*('Calcolo 2'!$A$2*'Progetto a Taglio'!B$3*'Calcolo 2'!$B$2)</f>
        <v>44666.386117748465</v>
      </c>
      <c r="K48">
        <f>$K10*('Calcolo 2'!$A$2*'Progetto a Taglio'!C$3*'Calcolo 2'!$B$2)</f>
        <v>2552.364921014198</v>
      </c>
    </row>
    <row r="49" spans="8:11" x14ac:dyDescent="0.25">
      <c r="H49">
        <f t="shared" si="3"/>
        <v>0.79999999999999993</v>
      </c>
      <c r="I49">
        <f>$I11*('Calcolo 2'!$A$2*'Progetto a Taglio'!A$3*'Calcolo 2'!$B$2)</f>
        <v>61573.170731707316</v>
      </c>
      <c r="J49">
        <f>$J11*('Calcolo 2'!$A$2*'Progetto a Taglio'!B$3*'Calcolo 2'!$B$2)</f>
        <v>51047.298420283943</v>
      </c>
      <c r="K49">
        <f>$K11*('Calcolo 2'!$A$2*'Progetto a Taglio'!C$3*'Calcolo 2'!$B$2)</f>
        <v>2916.9884811590823</v>
      </c>
    </row>
    <row r="50" spans="8:11" x14ac:dyDescent="0.25">
      <c r="H50">
        <f t="shared" si="3"/>
        <v>0.89999999999999991</v>
      </c>
      <c r="I50">
        <f>$I12*('Calcolo 2'!$A$2*'Progetto a Taglio'!A$3*'Calcolo 2'!$B$2)</f>
        <v>62763.812154696134</v>
      </c>
      <c r="J50">
        <f>$J12*('Calcolo 2'!$A$2*'Progetto a Taglio'!B$3*'Calcolo 2'!$B$2)</f>
        <v>57428.210722819436</v>
      </c>
      <c r="K50">
        <f>$K12*('Calcolo 2'!$A$2*'Progetto a Taglio'!C$3*'Calcolo 2'!$B$2)</f>
        <v>3281.6120413039675</v>
      </c>
    </row>
    <row r="51" spans="8:11" x14ac:dyDescent="0.25">
      <c r="H51">
        <f t="shared" si="3"/>
        <v>0.99999999999999989</v>
      </c>
      <c r="I51">
        <f>$I13*('Calcolo 2'!$A$2*'Progetto a Taglio'!A$3*'Calcolo 2'!$B$2)</f>
        <v>63112.499999999993</v>
      </c>
      <c r="J51">
        <f>$J13*('Calcolo 2'!$A$2*'Progetto a Taglio'!B$3*'Calcolo 2'!$B$2)</f>
        <v>63809.123025354922</v>
      </c>
      <c r="K51">
        <f>$K13*('Calcolo 2'!$A$2*'Progetto a Taglio'!C$3*'Calcolo 2'!$B$2)</f>
        <v>3646.2356014488528</v>
      </c>
    </row>
    <row r="52" spans="8:11" x14ac:dyDescent="0.25">
      <c r="H52">
        <f t="shared" si="3"/>
        <v>1.0999999999999999</v>
      </c>
      <c r="I52">
        <f>$I14*('Calcolo 2'!$A$2*'Progetto a Taglio'!A$3*'Calcolo 2'!$B$2)</f>
        <v>62826.923076923063</v>
      </c>
      <c r="J52">
        <f>$J14*('Calcolo 2'!$A$2*'Progetto a Taglio'!B$3*'Calcolo 2'!$B$2)</f>
        <v>70190.035327890408</v>
      </c>
      <c r="K52">
        <f>$K14*('Calcolo 2'!$A$2*'Progetto a Taglio'!C$3*'Calcolo 2'!$B$2)</f>
        <v>4010.8591615937376</v>
      </c>
    </row>
    <row r="53" spans="8:11" x14ac:dyDescent="0.25">
      <c r="H53">
        <f t="shared" si="3"/>
        <v>1.2</v>
      </c>
      <c r="I53">
        <f>$I15*('Calcolo 2'!$A$2*'Progetto a Taglio'!A$3*'Calcolo 2'!$B$2)</f>
        <v>62077.868852459011</v>
      </c>
      <c r="J53">
        <f>$J15*('Calcolo 2'!$A$2*'Progetto a Taglio'!B$3*'Calcolo 2'!$B$2)</f>
        <v>76570.947630425901</v>
      </c>
      <c r="K53">
        <f>$K15*('Calcolo 2'!$A$2*'Progetto a Taglio'!C$3*'Calcolo 2'!$B$2)</f>
        <v>4375.4827217386228</v>
      </c>
    </row>
    <row r="54" spans="8:11" x14ac:dyDescent="0.25">
      <c r="H54">
        <f t="shared" si="3"/>
        <v>1.3</v>
      </c>
      <c r="I54">
        <f>$I16*('Calcolo 2'!$A$2*'Progetto a Taglio'!A$3*'Calcolo 2'!$B$2)</f>
        <v>61000.929368029727</v>
      </c>
      <c r="J54">
        <f>$J16*('Calcolo 2'!$A$2*'Progetto a Taglio'!B$3*'Calcolo 2'!$B$2)</f>
        <v>82951.859932961393</v>
      </c>
      <c r="K54">
        <f>$K16*('Calcolo 2'!$A$2*'Progetto a Taglio'!C$3*'Calcolo 2'!$B$2)</f>
        <v>4740.106281883508</v>
      </c>
    </row>
    <row r="55" spans="8:11" x14ac:dyDescent="0.25">
      <c r="H55">
        <f t="shared" si="3"/>
        <v>1.4000000000000001</v>
      </c>
      <c r="I55">
        <f>$I17*('Calcolo 2'!$A$2*'Progetto a Taglio'!A$3*'Calcolo 2'!$B$2)</f>
        <v>59701.013513513506</v>
      </c>
      <c r="J55">
        <f>$J17*('Calcolo 2'!$A$2*'Progetto a Taglio'!B$3*'Calcolo 2'!$B$2)</f>
        <v>89332.77223549693</v>
      </c>
      <c r="K55">
        <f>$K17*('Calcolo 2'!$A$2*'Progetto a Taglio'!C$3*'Calcolo 2'!$B$2)</f>
        <v>5104.729842028396</v>
      </c>
    </row>
    <row r="56" spans="8:11" x14ac:dyDescent="0.25">
      <c r="H56">
        <f t="shared" si="3"/>
        <v>1.5000000000000002</v>
      </c>
      <c r="I56">
        <f>$I18*('Calcolo 2'!$A$2*'Progetto a Taglio'!A$3*'Calcolo 2'!$B$2)</f>
        <v>58257.69230769229</v>
      </c>
      <c r="J56">
        <f>$J18*('Calcolo 2'!$A$2*'Progetto a Taglio'!B$3*'Calcolo 2'!$B$2)</f>
        <v>95713.684538032408</v>
      </c>
      <c r="K56">
        <f>$K18*('Calcolo 2'!$A$2*'Progetto a Taglio'!C$3*'Calcolo 2'!$B$2)</f>
        <v>5469.3534021732803</v>
      </c>
    </row>
    <row r="57" spans="8:11" x14ac:dyDescent="0.25">
      <c r="H57">
        <f t="shared" si="3"/>
        <v>1.6000000000000003</v>
      </c>
      <c r="I57">
        <f>$I19*('Calcolo 2'!$A$2*'Progetto a Taglio'!A$3*'Calcolo 2'!$B$2)</f>
        <v>56730.337078651675</v>
      </c>
      <c r="J57">
        <f>$J19*('Calcolo 2'!$A$2*'Progetto a Taglio'!B$3*'Calcolo 2'!$B$2)</f>
        <v>102094.5968405679</v>
      </c>
      <c r="K57">
        <f>$K19*('Calcolo 2'!$A$2*'Progetto a Taglio'!C$3*'Calcolo 2'!$B$2)</f>
        <v>5833.9769623181655</v>
      </c>
    </row>
    <row r="58" spans="8:11" x14ac:dyDescent="0.25">
      <c r="H58">
        <f t="shared" si="3"/>
        <v>1.7000000000000004</v>
      </c>
      <c r="I58">
        <f>$I20*('Calcolo 2'!$A$2*'Progetto a Taglio'!A$3*'Calcolo 2'!$B$2)</f>
        <v>55162.596401028262</v>
      </c>
      <c r="J58">
        <f>$J20*('Calcolo 2'!$A$2*'Progetto a Taglio'!B$3*'Calcolo 2'!$B$2)</f>
        <v>108475.50914310339</v>
      </c>
      <c r="K58">
        <f>$K20*('Calcolo 2'!$A$2*'Progetto a Taglio'!C$3*'Calcolo 2'!$B$2)</f>
        <v>6198.6005224630508</v>
      </c>
    </row>
    <row r="59" spans="8:11" x14ac:dyDescent="0.25">
      <c r="H59">
        <f t="shared" si="3"/>
        <v>1.8000000000000005</v>
      </c>
      <c r="I59">
        <f>$I21*('Calcolo 2'!$A$2*'Progetto a Taglio'!A$3*'Calcolo 2'!$B$2)</f>
        <v>53586.084905660362</v>
      </c>
      <c r="J59">
        <f>$J21*('Calcolo 2'!$A$2*'Progetto a Taglio'!B$3*'Calcolo 2'!$B$2)</f>
        <v>114856.4214456389</v>
      </c>
      <c r="K59">
        <f>$K21*('Calcolo 2'!$A$2*'Progetto a Taglio'!C$3*'Calcolo 2'!$B$2)</f>
        <v>6563.2240826079369</v>
      </c>
    </row>
    <row r="60" spans="8:11" x14ac:dyDescent="0.25">
      <c r="H60">
        <f t="shared" si="3"/>
        <v>1.9000000000000006</v>
      </c>
      <c r="I60">
        <f>$I22*('Calcolo 2'!$A$2*'Progetto a Taglio'!A$3*'Calcolo 2'!$B$2)</f>
        <v>52023.318872017342</v>
      </c>
      <c r="J60">
        <f>$J22*('Calcolo 2'!$A$2*'Progetto a Taglio'!B$3*'Calcolo 2'!$B$2)</f>
        <v>121237.33374817439</v>
      </c>
      <c r="K60">
        <f>$K22*('Calcolo 2'!$A$2*'Progetto a Taglio'!C$3*'Calcolo 2'!$B$2)</f>
        <v>6927.847642752823</v>
      </c>
    </row>
    <row r="61" spans="8:11" x14ac:dyDescent="0.25">
      <c r="H61">
        <f t="shared" si="3"/>
        <v>2.0000000000000004</v>
      </c>
      <c r="I61">
        <f>$I23*('Calcolo 2'!$A$2*'Progetto a Taglio'!A$3*'Calcolo 2'!$B$2)</f>
        <v>50489.999999999993</v>
      </c>
      <c r="J61">
        <f>$J23*('Calcolo 2'!$A$2*'Progetto a Taglio'!B$3*'Calcolo 2'!$B$2)</f>
        <v>127618.24605070987</v>
      </c>
      <c r="K61">
        <f>$K23*('Calcolo 2'!$A$2*'Progetto a Taglio'!C$3*'Calcolo 2'!$B$2)</f>
        <v>6731.9999999999991</v>
      </c>
    </row>
    <row r="62" spans="8:11" x14ac:dyDescent="0.25">
      <c r="H62">
        <f t="shared" si="3"/>
        <v>2.1000000000000005</v>
      </c>
      <c r="I62">
        <f>$I24*('Calcolo 2'!$A$2*'Progetto a Taglio'!A$3*'Calcolo 2'!$B$2)</f>
        <v>48996.765249537886</v>
      </c>
      <c r="J62">
        <f>$J24*('Calcolo 2'!$A$2*'Progetto a Taglio'!B$3*'Calcolo 2'!$B$2)</f>
        <v>133999.15835324538</v>
      </c>
      <c r="K62">
        <f>$K24*('Calcolo 2'!$A$2*'Progetto a Taglio'!C$3*'Calcolo 2'!$B$2)</f>
        <v>6532.9020332717182</v>
      </c>
    </row>
    <row r="63" spans="8:11" x14ac:dyDescent="0.25">
      <c r="H63">
        <f t="shared" si="3"/>
        <v>2.2000000000000006</v>
      </c>
      <c r="I63">
        <f>$I25*('Calcolo 2'!$A$2*'Progetto a Taglio'!A$3*'Calcolo 2'!$B$2)</f>
        <v>47550.513698630122</v>
      </c>
      <c r="J63">
        <f>$J25*('Calcolo 2'!$A$2*'Progetto a Taglio'!B$3*'Calcolo 2'!$B$2)</f>
        <v>140380.07065578087</v>
      </c>
      <c r="K63">
        <f>$K25*('Calcolo 2'!$A$2*'Progetto a Taglio'!C$3*'Calcolo 2'!$B$2)</f>
        <v>6340.0684931506839</v>
      </c>
    </row>
    <row r="64" spans="8:11" x14ac:dyDescent="0.25">
      <c r="H64">
        <f t="shared" si="3"/>
        <v>2.3000000000000007</v>
      </c>
      <c r="I64">
        <f>$I26*('Calcolo 2'!$A$2*'Progetto a Taglio'!A$3*'Calcolo 2'!$B$2)</f>
        <v>46155.405405405385</v>
      </c>
      <c r="J64">
        <f>$J26*('Calcolo 2'!$A$2*'Progetto a Taglio'!B$3*'Calcolo 2'!$B$2)</f>
        <v>146760.98295831637</v>
      </c>
      <c r="K64">
        <f>$K26*('Calcolo 2'!$A$2*'Progetto a Taglio'!C$3*'Calcolo 2'!$B$2)</f>
        <v>6154.0540540540524</v>
      </c>
    </row>
    <row r="65" spans="8:11" x14ac:dyDescent="0.25">
      <c r="H65">
        <f t="shared" si="3"/>
        <v>2.4000000000000008</v>
      </c>
      <c r="I65">
        <f>$I27*('Calcolo 2'!$A$2*'Progetto a Taglio'!A$3*'Calcolo 2'!$B$2)</f>
        <v>44813.609467455601</v>
      </c>
      <c r="J65">
        <f>$J27*('Calcolo 2'!$A$2*'Progetto a Taglio'!B$3*'Calcolo 2'!$B$2)</f>
        <v>153141.89526085186</v>
      </c>
      <c r="K65">
        <f>$K27*('Calcolo 2'!$A$2*'Progetto a Taglio'!C$3*'Calcolo 2'!$B$2)</f>
        <v>5975.1479289940808</v>
      </c>
    </row>
    <row r="66" spans="8:11" x14ac:dyDescent="0.25">
      <c r="H66">
        <f t="shared" si="3"/>
        <v>2.5000000000000009</v>
      </c>
      <c r="I66">
        <f>$I28*('Calcolo 2'!$A$2*'Progetto a Taglio'!A$3*'Calcolo 2'!$B$2)</f>
        <v>43525.8620689655</v>
      </c>
      <c r="J66">
        <f>$J28*('Calcolo 2'!$A$2*'Progetto a Taglio'!B$3*'Calcolo 2'!$B$2)</f>
        <v>159522.80756338741</v>
      </c>
      <c r="K66">
        <f>$K28*('Calcolo 2'!$A$2*'Progetto a Taglio'!C$3*'Calcolo 2'!$B$2)</f>
        <v>5803.4482758620679</v>
      </c>
    </row>
    <row r="67" spans="8:11" x14ac:dyDescent="0.25">
      <c r="H67">
        <f t="shared" si="3"/>
        <v>2.600000000000001</v>
      </c>
      <c r="I67">
        <f>$I29*('Calcolo 2'!$A$2*'Progetto a Taglio'!A$3*'Calcolo 2'!$B$2)</f>
        <v>42291.881443298953</v>
      </c>
      <c r="J67">
        <f>$J29*('Calcolo 2'!$A$2*'Progetto a Taglio'!B$3*'Calcolo 2'!$B$2)</f>
        <v>165903.71986592285</v>
      </c>
      <c r="K67">
        <f>$K29*('Calcolo 2'!$A$2*'Progetto a Taglio'!C$3*'Calcolo 2'!$B$2)</f>
        <v>5638.9175257731949</v>
      </c>
    </row>
    <row r="68" spans="8:11" x14ac:dyDescent="0.25">
      <c r="H68">
        <f t="shared" si="3"/>
        <v>2.7000000000000011</v>
      </c>
      <c r="I68">
        <f>$I30*('Calcolo 2'!$A$2*'Progetto a Taglio'!A$3*'Calcolo 2'!$B$2)</f>
        <v>41110.675512665846</v>
      </c>
      <c r="J68">
        <f>$J30*('Calcolo 2'!$A$2*'Progetto a Taglio'!B$3*'Calcolo 2'!$B$2)</f>
        <v>172284.63216845837</v>
      </c>
      <c r="K68">
        <f>$K30*('Calcolo 2'!$A$2*'Progetto a Taglio'!C$3*'Calcolo 2'!$B$2)</f>
        <v>5481.4234016887794</v>
      </c>
    </row>
    <row r="69" spans="8:11" x14ac:dyDescent="0.25">
      <c r="H69">
        <f t="shared" si="3"/>
        <v>2.8000000000000012</v>
      </c>
      <c r="I69">
        <f>$I31*('Calcolo 2'!$A$2*'Progetto a Taglio'!A$3*'Calcolo 2'!$B$2)</f>
        <v>39980.769230769212</v>
      </c>
      <c r="J69">
        <f>$J31*('Calcolo 2'!$A$2*'Progetto a Taglio'!B$3*'Calcolo 2'!$B$2)</f>
        <v>178665.54447099389</v>
      </c>
      <c r="K69">
        <f>$K31*('Calcolo 2'!$A$2*'Progetto a Taglio'!C$3*'Calcolo 2'!$B$2)</f>
        <v>5330.7692307692287</v>
      </c>
    </row>
    <row r="70" spans="8:11" x14ac:dyDescent="0.25">
      <c r="H70">
        <f t="shared" si="3"/>
        <v>2.9000000000000012</v>
      </c>
      <c r="I70">
        <f>$I32*('Calcolo 2'!$A$2*'Progetto a Taglio'!A$3*'Calcolo 2'!$B$2)</f>
        <v>38900.371944739622</v>
      </c>
      <c r="J70">
        <f>$J32*('Calcolo 2'!$A$2*'Progetto a Taglio'!B$3*'Calcolo 2'!$B$2)</f>
        <v>185046.45677352938</v>
      </c>
      <c r="K70">
        <f>$K32*('Calcolo 2'!$A$2*'Progetto a Taglio'!C$3*'Calcolo 2'!$B$2)</f>
        <v>5186.7162592986169</v>
      </c>
    </row>
    <row r="71" spans="8:11" x14ac:dyDescent="0.25">
      <c r="H71">
        <f t="shared" si="3"/>
        <v>3.0000000000000013</v>
      </c>
      <c r="I71">
        <f>$I33*('Calcolo 2'!$A$2*'Progetto a Taglio'!A$3*'Calcolo 2'!$B$2)</f>
        <v>37867.499999999985</v>
      </c>
      <c r="J71">
        <f>$J33*('Calcolo 2'!$A$2*'Progetto a Taglio'!B$3*'Calcolo 2'!$B$2)</f>
        <v>191427.36907606488</v>
      </c>
      <c r="K71">
        <f>$K33*('Calcolo 2'!$A$2*'Progetto a Taglio'!C$3*'Calcolo 2'!$B$2)</f>
        <v>5048.9999999999991</v>
      </c>
    </row>
    <row r="72" spans="8:11" x14ac:dyDescent="0.25">
      <c r="H72">
        <f t="shared" si="3"/>
        <v>3.1000000000000014</v>
      </c>
      <c r="I72">
        <f>$I34*('Calcolo 2'!$A$2*'Progetto a Taglio'!A$3*'Calcolo 2'!$B$2)</f>
        <v>36880.065975494799</v>
      </c>
      <c r="J72">
        <f>$J34*('Calcolo 2'!$A$2*'Progetto a Taglio'!B$3*'Calcolo 2'!$B$2)</f>
        <v>197808.28137860037</v>
      </c>
      <c r="K72">
        <f>$K34*('Calcolo 2'!$A$2*'Progetto a Taglio'!C$3*'Calcolo 2'!$B$2)</f>
        <v>4917.3421300659738</v>
      </c>
    </row>
    <row r="73" spans="8:11" x14ac:dyDescent="0.25">
      <c r="H73">
        <f t="shared" si="3"/>
        <v>3.2000000000000015</v>
      </c>
      <c r="I73">
        <f>$I35*('Calcolo 2'!$A$2*'Progetto a Taglio'!A$3*'Calcolo 2'!$B$2)</f>
        <v>35935.943060498204</v>
      </c>
      <c r="J73">
        <f>$J35*('Calcolo 2'!$A$2*'Progetto a Taglio'!B$3*'Calcolo 2'!$B$2)</f>
        <v>204189.19368113586</v>
      </c>
      <c r="K73">
        <f>$K35*('Calcolo 2'!$A$2*'Progetto a Taglio'!C$3*'Calcolo 2'!$B$2)</f>
        <v>4791.4590747330949</v>
      </c>
    </row>
    <row r="74" spans="8:11" x14ac:dyDescent="0.25">
      <c r="H74">
        <f t="shared" si="3"/>
        <v>3.3000000000000016</v>
      </c>
      <c r="I74">
        <f>$I36*('Calcolo 2'!$A$2*'Progetto a Taglio'!A$3*'Calcolo 2'!$B$2)</f>
        <v>35033.010933557591</v>
      </c>
      <c r="J74">
        <f>$J36*('Calcolo 2'!$A$2*'Progetto a Taglio'!B$3*'Calcolo 2'!$B$2)</f>
        <v>210570.10598367135</v>
      </c>
      <c r="K74">
        <f>$K36*('Calcolo 2'!$A$2*'Progetto a Taglio'!C$3*'Calcolo 2'!$B$2)</f>
        <v>4671.0681244743455</v>
      </c>
    </row>
    <row r="75" spans="8:11" x14ac:dyDescent="0.25">
      <c r="H75">
        <f t="shared" si="3"/>
        <v>3.4000000000000017</v>
      </c>
      <c r="I75">
        <f>$I37*('Calcolo 2'!$A$2*'Progetto a Taglio'!A$3*'Calcolo 2'!$B$2)</f>
        <v>34169.187898089156</v>
      </c>
      <c r="J75">
        <f>$J37*('Calcolo 2'!$A$2*'Progetto a Taglio'!B$3*'Calcolo 2'!$B$2)</f>
        <v>216951.01828620685</v>
      </c>
      <c r="K75">
        <f>$K37*('Calcolo 2'!$A$2*'Progetto a Taglio'!C$3*'Calcolo 2'!$B$2)</f>
        <v>4555.8917197452211</v>
      </c>
    </row>
    <row r="76" spans="8:11" x14ac:dyDescent="0.25">
      <c r="H76">
        <f t="shared" si="3"/>
        <v>3.5000000000000018</v>
      </c>
      <c r="I76">
        <f>$I38*('Calcolo 2'!$A$2*'Progetto a Taglio'!A$3*'Calcolo 2'!$B$2)</f>
        <v>33342.45283018866</v>
      </c>
      <c r="J76">
        <f>$J38*('Calcolo 2'!$A$2*'Progetto a Taglio'!B$3*'Calcolo 2'!$B$2)</f>
        <v>223331.93058874237</v>
      </c>
      <c r="K76">
        <f>$K38*('Calcolo 2'!$A$2*'Progetto a Taglio'!C$3*'Calcolo 2'!$B$2)</f>
        <v>4445.6603773584884</v>
      </c>
    </row>
    <row r="77" spans="8:11" x14ac:dyDescent="0.25">
      <c r="H77">
        <f t="shared" si="3"/>
        <v>3.5</v>
      </c>
      <c r="I77">
        <f>$I39*('Calcolo 2'!$A$2*'Progetto a Taglio'!A$3*'Calcolo 2'!$B$2)</f>
        <v>33342.452830188675</v>
      </c>
      <c r="J77">
        <f>$J39*('Calcolo 2'!$A$2*'Progetto a Taglio'!B$3*'Calcolo 2'!$B$2)</f>
        <v>223331.93058874225</v>
      </c>
      <c r="K77">
        <f>$K39*('Calcolo 2'!$A$2*'Progetto a Taglio'!C$3*'Calcolo 2'!$B$2)</f>
        <v>4445.6603773584902</v>
      </c>
    </row>
  </sheetData>
  <sheetProtection algorithmName="SHA-512" hashValue="e7j8O0hPXCo9cGxDe9WgE8h9sXIJ5GdllMXtWU1fNNEkgavQj+DjUDMmulOAspKm/PfU8otkkrbLnfcgZnGK4A==" saltValue="n5zWZWesDy5hColNdXSjUA==" spinCount="100000" sheet="1" objects="1" scenarios="1" selectLockedCells="1" selectUnlockedCells="1"/>
  <mergeCells count="2">
    <mergeCell ref="M1:P1"/>
    <mergeCell ref="D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14</vt:i4>
      </vt:variant>
    </vt:vector>
  </HeadingPairs>
  <TitlesOfParts>
    <vt:vector size="20" baseType="lpstr">
      <vt:lpstr>Verifica a Taglio</vt:lpstr>
      <vt:lpstr>Calcolo 1</vt:lpstr>
      <vt:lpstr>Dati 1</vt:lpstr>
      <vt:lpstr>Progetto a Taglio</vt:lpstr>
      <vt:lpstr>Calcolo 2</vt:lpstr>
      <vt:lpstr> Dati 2</vt:lpstr>
      <vt:lpstr>A</vt:lpstr>
      <vt:lpstr>B</vt:lpstr>
      <vt:lpstr>Classecc</vt:lpstr>
      <vt:lpstr>Classecc1</vt:lpstr>
      <vt:lpstr>D</vt:lpstr>
      <vt:lpstr>Diametro</vt:lpstr>
      <vt:lpstr>Diametrost</vt:lpstr>
      <vt:lpstr>Diametrost1</vt:lpstr>
      <vt:lpstr>E</vt:lpstr>
      <vt:lpstr>n°braccist</vt:lpstr>
      <vt:lpstr>n°braccist1</vt:lpstr>
      <vt:lpstr>Numero</vt:lpstr>
      <vt:lpstr>sAsw</vt:lpstr>
      <vt:lpstr>αcc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Gulizia</dc:creator>
  <cp:lastModifiedBy>Giovanni Gulizia</cp:lastModifiedBy>
  <dcterms:created xsi:type="dcterms:W3CDTF">2013-10-17T13:07:04Z</dcterms:created>
  <dcterms:modified xsi:type="dcterms:W3CDTF">2017-03-13T11:22:49Z</dcterms:modified>
</cp:coreProperties>
</file>